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はじめに" sheetId="1" r:id="rId1"/>
    <sheet name="流出量計算" sheetId="2" r:id="rId2"/>
    <sheet name="浸透施設設計" sheetId="3" r:id="rId3"/>
    <sheet name="浸透トレンチ" sheetId="4" r:id="rId4"/>
    <sheet name="浸透側溝" sheetId="5" r:id="rId5"/>
    <sheet name="浸透丸桝" sheetId="6" r:id="rId6"/>
    <sheet name="浸透角形桝" sheetId="7" r:id="rId7"/>
    <sheet name="比浸透量K算定" sheetId="8" r:id="rId8"/>
    <sheet name="比浸透量K算定（大規模）" sheetId="9" r:id="rId9"/>
    <sheet name="比浸透量K算定（大型貯留槽・側面底面）" sheetId="10" r:id="rId10"/>
    <sheet name="比浸透量K算定（大型貯留槽・底面）" sheetId="11" r:id="rId11"/>
  </sheets>
  <definedNames>
    <definedName name="_xlnm.Print_Area" localSheetId="3">'浸透トレンチ'!$A$1:$P$41</definedName>
    <definedName name="_xlnm.Print_Area" localSheetId="6">'浸透角形桝'!$A$1:$P$41</definedName>
    <definedName name="_xlnm.Print_Area" localSheetId="5">'浸透丸桝'!$A$1:$P$41</definedName>
    <definedName name="_xlnm.Print_Area" localSheetId="4">'浸透側溝'!$A$1:$P$41</definedName>
    <definedName name="_xlnm.Print_Titles" localSheetId="3">'浸透トレンチ'!$C:$C</definedName>
    <definedName name="_xlnm.Print_Titles" localSheetId="4">'浸透側溝'!$C:$C</definedName>
    <definedName name="_xlnm.Print_Titles" localSheetId="7">'比浸透量K算定'!$A:$A</definedName>
    <definedName name="_xlnm.Print_Titles" localSheetId="8">'比浸透量K算定（大規模）'!$A:$A</definedName>
    <definedName name="_xlnm.Print_Titles" localSheetId="9">'比浸透量K算定（大型貯留槽・側面底面）'!$A:$A</definedName>
    <definedName name="_xlnm.Print_Titles" localSheetId="10">'比浸透量K算定（大型貯留槽・底面）'!$A:$A</definedName>
  </definedNames>
  <calcPr fullCalcOnLoad="1"/>
</workbook>
</file>

<file path=xl/sharedStrings.xml><?xml version="1.0" encoding="utf-8"?>
<sst xmlns="http://schemas.openxmlformats.org/spreadsheetml/2006/main" count="615" uniqueCount="244">
  <si>
    <t>Ⅰ　流出量の計算</t>
  </si>
  <si>
    <t>計画最大雨水量</t>
  </si>
  <si>
    <t>Ｑ＝１／１０００×Ｃ×Ｉ×Ａ</t>
  </si>
  <si>
    <t>Ｑ ： 計画最大雨水量（ｍ3／hr）</t>
  </si>
  <si>
    <t>Ｃ ： 総括流出係数</t>
  </si>
  <si>
    <t>Ａ ： 集水面積（㎡）</t>
  </si>
  <si>
    <t>総括流出係数は工種別基礎流出係数標準値を使用する。</t>
  </si>
  <si>
    <t>工　種　別</t>
  </si>
  <si>
    <t>流出係数</t>
  </si>
  <si>
    <t>屋　根</t>
  </si>
  <si>
    <t>道　路</t>
  </si>
  <si>
    <t>芝・樹木の多い公園</t>
  </si>
  <si>
    <t>その他の不透水面</t>
  </si>
  <si>
    <t>勾配のゆるい山地</t>
  </si>
  <si>
    <t>水　面</t>
  </si>
  <si>
    <t>勾配の急な山地</t>
  </si>
  <si>
    <t>浸透舗装</t>
  </si>
  <si>
    <t>計画最大雨水量Qの算出</t>
  </si>
  <si>
    <t>工    種</t>
  </si>
  <si>
    <t>C：流出係数</t>
  </si>
  <si>
    <t>Ａ：集水面積（㎡）</t>
  </si>
  <si>
    <t>C×A</t>
  </si>
  <si>
    <t>Ｑ：（ｍ3／hr）</t>
  </si>
  <si>
    <t>計</t>
  </si>
  <si>
    <t>Ⅱ　浸透施設設計</t>
  </si>
  <si>
    <t>土質と飽和透水係数</t>
  </si>
  <si>
    <t>土　　　質</t>
  </si>
  <si>
    <t>ローム</t>
  </si>
  <si>
    <t>飽和透水係数 ko （m/hr）</t>
  </si>
  <si>
    <t>浸透施設の設計処理量</t>
  </si>
  <si>
    <t>K ： 比浸透量</t>
  </si>
  <si>
    <t>貯留量は、空隙率Tvを用いて算出する。</t>
  </si>
  <si>
    <t>Qt ＝　V × Tv</t>
  </si>
  <si>
    <r>
      <t>V ： 体積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</si>
  <si>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Tv ： 空隙率 （％）</t>
  </si>
  <si>
    <t>施設の設置</t>
  </si>
  <si>
    <t>名　称</t>
  </si>
  <si>
    <t>寸法</t>
  </si>
  <si>
    <t>数　量</t>
  </si>
  <si>
    <t>単　位</t>
  </si>
  <si>
    <r>
      <t>Qd（ｍ</t>
    </r>
    <r>
      <rPr>
        <sz val="8"/>
        <rFont val="ＭＳ Ｐゴシック"/>
        <family val="3"/>
      </rPr>
      <t>3/</t>
    </r>
    <r>
      <rPr>
        <sz val="11"/>
        <rFont val="ＭＳ Ｐゴシック"/>
        <family val="3"/>
      </rPr>
      <t>hr）</t>
    </r>
  </si>
  <si>
    <r>
      <t>ΣQd（ｍ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hr）</t>
    </r>
  </si>
  <si>
    <t>浸 透 桝</t>
  </si>
  <si>
    <t>個</t>
  </si>
  <si>
    <t>浸透ﾄﾚﾝﾁ</t>
  </si>
  <si>
    <t>ｍ</t>
  </si>
  <si>
    <t>＊＊＊</t>
  </si>
  <si>
    <t>判定</t>
  </si>
  <si>
    <t>流出量Q</t>
  </si>
  <si>
    <t>処理量ΣQd</t>
  </si>
  <si>
    <t xml:space="preserve"> （ｍ3/hr）</t>
  </si>
  <si>
    <t>浸透トレンチの処理量計算</t>
  </si>
  <si>
    <t>設計条件</t>
  </si>
  <si>
    <t>構造図</t>
  </si>
  <si>
    <t>幅 W＝</t>
  </si>
  <si>
    <t>設置形状</t>
  </si>
  <si>
    <t>浸透トレンチ</t>
  </si>
  <si>
    <t>外径φ1＝</t>
  </si>
  <si>
    <t>浸透面</t>
  </si>
  <si>
    <t>側面・底面</t>
  </si>
  <si>
    <t>内径φ2=</t>
  </si>
  <si>
    <t>設計水頭</t>
  </si>
  <si>
    <t>約１．５ｍ</t>
  </si>
  <si>
    <t>施設規模</t>
  </si>
  <si>
    <t>幅約１．５ｍ</t>
  </si>
  <si>
    <t>埋戻土</t>
  </si>
  <si>
    <t>基本式</t>
  </si>
  <si>
    <t>K=aH+b</t>
  </si>
  <si>
    <t>H（ｍ）</t>
  </si>
  <si>
    <t>W（ｍ）</t>
  </si>
  <si>
    <t>L(m)</t>
  </si>
  <si>
    <t>透水シート</t>
  </si>
  <si>
    <t>a</t>
  </si>
  <si>
    <t>ｂ</t>
  </si>
  <si>
    <t>1.34*W+0.677</t>
  </si>
  <si>
    <t>透水管</t>
  </si>
  <si>
    <t>H=</t>
  </si>
  <si>
    <t>K</t>
  </si>
  <si>
    <t>単粒度砕石</t>
  </si>
  <si>
    <t>長さは１ｍ当りで計算する。</t>
  </si>
  <si>
    <t>φ30orφ40</t>
  </si>
  <si>
    <t>敷砂</t>
  </si>
  <si>
    <t>（単位：ｍｍ）</t>
  </si>
  <si>
    <t>＝</t>
  </si>
  <si>
    <t>（ｍ3／hr）</t>
  </si>
  <si>
    <t xml:space="preserve">      Qt ＝　（ W ・H －π・φ1・φ1／４ ） ・ Tv ＋ π ・φ2・φ2／４</t>
  </si>
  <si>
    <t>W (m)</t>
  </si>
  <si>
    <t>H (m)</t>
  </si>
  <si>
    <t>φ1 (m)</t>
  </si>
  <si>
    <t>φ2 (m)</t>
  </si>
  <si>
    <t>W ・H</t>
  </si>
  <si>
    <t>π・φ1・φ1　　／４</t>
  </si>
  <si>
    <t>π・φ2・φ2　　／４</t>
  </si>
  <si>
    <t>Qt</t>
  </si>
  <si>
    <t>＋</t>
  </si>
  <si>
    <r>
      <t>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／hr／ｍ）</t>
    </r>
  </si>
  <si>
    <t>浸透桝</t>
  </si>
  <si>
    <t>円筒形</t>
  </si>
  <si>
    <t>砕石等の</t>
  </si>
  <si>
    <t>　　幅・奥行：W＝</t>
  </si>
  <si>
    <t>立方形</t>
  </si>
  <si>
    <t>　内径φ2=</t>
  </si>
  <si>
    <t>W≦１ｍ</t>
  </si>
  <si>
    <t>0.120*W+0.985</t>
  </si>
  <si>
    <t>ｈ=</t>
  </si>
  <si>
    <t>7.837*W+0.82</t>
  </si>
  <si>
    <t>ｃ</t>
  </si>
  <si>
    <t>2.858*W-0.283</t>
  </si>
  <si>
    <t xml:space="preserve">      Qt ＝　（ W ・W ・H －π・φ1・φ1／４　・ ｈ ） ・ Tv ＋ π ・φ2・φ2／４ ・ ｈ</t>
  </si>
  <si>
    <t>ｈ (m)</t>
  </si>
  <si>
    <t>W・W・H</t>
  </si>
  <si>
    <t>π・φ1・φ1　　／４　・ ｈ</t>
  </si>
  <si>
    <t>π・φ2・φ2　　／４　・ ｈ</t>
  </si>
  <si>
    <r>
      <t>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／hr／個）</t>
    </r>
  </si>
  <si>
    <t>角形（正方形）</t>
  </si>
  <si>
    <t>外幅B1＝</t>
  </si>
  <si>
    <t>　内幅B2=</t>
  </si>
  <si>
    <t xml:space="preserve">      Qt ＝　（ W ・W ・H －B1・B1・ ｈ ） ・ Tv ＋ B2・B2 ・ ｈ</t>
  </si>
  <si>
    <t>B1 (m)</t>
  </si>
  <si>
    <t>B2 (m)</t>
  </si>
  <si>
    <t>B1・B1・ｈ</t>
  </si>
  <si>
    <t>B2・B2・ｈ</t>
  </si>
  <si>
    <t>施設</t>
  </si>
  <si>
    <t>浸透池</t>
  </si>
  <si>
    <t>円筒ます</t>
  </si>
  <si>
    <t>正方形ます</t>
  </si>
  <si>
    <t>矩形のます</t>
  </si>
  <si>
    <t>底面</t>
  </si>
  <si>
    <t>400㎡以上</t>
  </si>
  <si>
    <t>0.2≦D≦1ｍ</t>
  </si>
  <si>
    <t>1＜D≦10ｍ</t>
  </si>
  <si>
    <t>0.3≦D≦1ｍ</t>
  </si>
  <si>
    <t>1＜W≦10ｍ</t>
  </si>
  <si>
    <t>L200、W4ｍ</t>
  </si>
  <si>
    <t>W又はD（ｍ）</t>
  </si>
  <si>
    <t>0.475*D+0.945</t>
  </si>
  <si>
    <t>6.244*D+2.853</t>
  </si>
  <si>
    <t>1.497*D-0.100</t>
  </si>
  <si>
    <t>2.556*D-2.052</t>
  </si>
  <si>
    <t>(-0.453)*W*W+8.289*W+0.753</t>
  </si>
  <si>
    <t>1.676*W-0.137</t>
  </si>
  <si>
    <t>3.297*L+(1.971*W+4.663)</t>
  </si>
  <si>
    <t>6.07*D+1.01</t>
  </si>
  <si>
    <t>0.93*D*D+1.606*D-0.773</t>
  </si>
  <si>
    <t>1.13*D*D+0.638*D-0.011</t>
  </si>
  <si>
    <t>0.924*D*D+0.993*D-0.087</t>
  </si>
  <si>
    <t>1.496*W*W+0.671*W-0.015</t>
  </si>
  <si>
    <t>(1.401*W+0.684)*L+(1.214*W-0.834)</t>
  </si>
  <si>
    <t>2.57*D-0.188</t>
  </si>
  <si>
    <t>10＜W≦８0ｍ</t>
  </si>
  <si>
    <t>0.747*W+21.355</t>
  </si>
  <si>
    <t>(-0.204)*W*W+3.166*W-1.936</t>
  </si>
  <si>
    <t>1.265*W-15.670</t>
  </si>
  <si>
    <t>1.263*W*W+4.295*W-7.649</t>
  </si>
  <si>
    <t>1.345*W*W+0.736*W+0.251</t>
  </si>
  <si>
    <t>1.259*W*W+2.336*W-8.13</t>
  </si>
  <si>
    <t>自己居住用</t>
  </si>
  <si>
    <t>不要</t>
  </si>
  <si>
    <t>基準浸透量</t>
  </si>
  <si>
    <t>雨水浸透施設の浸透量は「埼玉県雨水流出抑制施設の設置等に関する条例」</t>
  </si>
  <si>
    <t>Qｆ ＝ K × ｆ</t>
  </si>
  <si>
    <r>
      <t>Qｆ ： 基準浸透量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</si>
  <si>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t>K ： 比浸透量　（㎡）</t>
  </si>
  <si>
    <t>ｆ ： 土壌の飽和透水係数　（ｍ/hr）</t>
  </si>
  <si>
    <t>基準貯留量</t>
  </si>
  <si>
    <r>
      <t>Qｔ ： 基準貯留量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</si>
  <si>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基準処理量</t>
  </si>
  <si>
    <r>
      <t>Qｄ ： 基準処理量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</si>
  <si>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t>Qd ＝ Qｆ ＋ Qｔ</t>
  </si>
  <si>
    <t>処理量</t>
  </si>
  <si>
    <t xml:space="preserve">     Qｆ ＝ K × ｆ </t>
  </si>
  <si>
    <t xml:space="preserve">     Qd ＝ Qｆ ＋ Qｔ</t>
  </si>
  <si>
    <t xml:space="preserve">     Qｆ ＝</t>
  </si>
  <si>
    <t xml:space="preserve"> Ｉ ： 平均降雨強度</t>
  </si>
  <si>
    <t>各シートは保護されていますので、シート毎にＴａｂキーを押すと条件入力セルに移動します。</t>
  </si>
  <si>
    <t>計算式を変更するなどしたい場合は、ツール（Ｔ）保護（Ｐ）で解除してください。</t>
  </si>
  <si>
    <t>シート浸透施設設計の３施設の設置　寸法は直接入力してください。</t>
  </si>
  <si>
    <t>リンクの方法：表示させるセルで数式を入れる。　＝　参照シートの参照セル　Enterキー</t>
  </si>
  <si>
    <t>これ以外の施設を使用する場合は、比浸透量K算定シートを利用して計算を進めてください。</t>
  </si>
  <si>
    <t xml:space="preserve">     Qｆ ＝ K × ｆ </t>
  </si>
  <si>
    <t>ｆ ： 土壌の飽和透水係数　（ｍ/hr）</t>
  </si>
  <si>
    <t xml:space="preserve">     Qd ＝ Qｆ ＋ Qｔ</t>
  </si>
  <si>
    <t>浸透側溝</t>
  </si>
  <si>
    <t>外幅B1＝</t>
  </si>
  <si>
    <t>内幅B2=</t>
  </si>
  <si>
    <t>ｈ2＝</t>
  </si>
  <si>
    <t>浸透側溝</t>
  </si>
  <si>
    <t>ｈ1＝</t>
  </si>
  <si>
    <t>=</t>
  </si>
  <si>
    <t xml:space="preserve">     Qｆ ＝</t>
  </si>
  <si>
    <t xml:space="preserve">      Qt ＝　（ W ・H －B1・ｈ１ ） ・ Tv ＋ B２・ｈ２</t>
  </si>
  <si>
    <t>B1 (m)</t>
  </si>
  <si>
    <t>B2 (m)</t>
  </si>
  <si>
    <t>ｈ1</t>
  </si>
  <si>
    <t>ｈ2</t>
  </si>
  <si>
    <r>
      <t>B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・ｈ</t>
    </r>
    <r>
      <rPr>
        <sz val="11"/>
        <rFont val="ＭＳ Ｐゴシック"/>
        <family val="3"/>
      </rPr>
      <t>1</t>
    </r>
  </si>
  <si>
    <r>
      <t>B２・ｈ</t>
    </r>
    <r>
      <rPr>
        <sz val="11"/>
        <rFont val="ＭＳ Ｐゴシック"/>
        <family val="3"/>
      </rPr>
      <t>2</t>
    </r>
  </si>
  <si>
    <t>浸透側溝の処理量計算</t>
  </si>
  <si>
    <t>許可申請･届出手引きにより算定する。</t>
  </si>
  <si>
    <t>K=aHH+bH+c</t>
  </si>
  <si>
    <t>（基準処理量の算出は次ページ以降参照）</t>
  </si>
  <si>
    <t>浸透角桝の処理量計算</t>
  </si>
  <si>
    <t>浸透丸桝の処理量計算</t>
  </si>
  <si>
    <t>K=aHH+bH+c</t>
  </si>
  <si>
    <t>基準処理量まで算定しているシートは、浸透トレンチ、浸透丸桝、浸透角形桝、浸透側溝だけです。</t>
  </si>
  <si>
    <t>基準処理量は施設ごとのシート（浸透トレンチ、浸透円形桝、浸透角形桝等）からリンクさせてください</t>
  </si>
  <si>
    <t>K = （aH+b）＊Ｌ</t>
  </si>
  <si>
    <t>５ｍ≦W≦５０ｍ</t>
  </si>
  <si>
    <t>W（ｍ）</t>
  </si>
  <si>
    <t>＊＊＊</t>
  </si>
  <si>
    <t>Ｘ＝Ｌ／Ｗ</t>
  </si>
  <si>
    <t>大　型　貯　留　槽</t>
  </si>
  <si>
    <t>側　面　・　底　面</t>
  </si>
  <si>
    <r>
      <t>8.83X</t>
    </r>
    <r>
      <rPr>
        <vertAlign val="superscript"/>
        <sz val="11"/>
        <rFont val="ＭＳ Ｐゴシック"/>
        <family val="3"/>
      </rPr>
      <t>-0.461</t>
    </r>
  </si>
  <si>
    <t>b</t>
  </si>
  <si>
    <r>
      <t>7.88X</t>
    </r>
    <r>
      <rPr>
        <vertAlign val="superscript"/>
        <sz val="11"/>
        <rFont val="ＭＳ Ｐゴシック"/>
        <family val="3"/>
      </rPr>
      <t>-0.446</t>
    </r>
  </si>
  <si>
    <r>
      <t>7.06X</t>
    </r>
    <r>
      <rPr>
        <vertAlign val="superscript"/>
        <sz val="11"/>
        <rFont val="ＭＳ Ｐゴシック"/>
        <family val="3"/>
      </rPr>
      <t>-0.452</t>
    </r>
  </si>
  <si>
    <t>＊＊＊</t>
  </si>
  <si>
    <t>比例配分Ｋ</t>
  </si>
  <si>
    <r>
      <t>6.43X</t>
    </r>
    <r>
      <rPr>
        <vertAlign val="superscript"/>
        <sz val="11"/>
        <rFont val="ＭＳ Ｐゴシック"/>
        <family val="3"/>
      </rPr>
      <t>-0.444</t>
    </r>
  </si>
  <si>
    <r>
      <t>5.97X</t>
    </r>
    <r>
      <rPr>
        <vertAlign val="superscript"/>
        <sz val="11"/>
        <rFont val="ＭＳ Ｐゴシック"/>
        <family val="3"/>
      </rPr>
      <t>-0.440</t>
    </r>
  </si>
  <si>
    <r>
      <t>5.62X</t>
    </r>
    <r>
      <rPr>
        <vertAlign val="superscript"/>
        <sz val="11"/>
        <rFont val="ＭＳ Ｐゴシック"/>
        <family val="3"/>
      </rPr>
      <t>-0.442</t>
    </r>
  </si>
  <si>
    <t>５ｍ≦W≦５０ｍ</t>
  </si>
  <si>
    <t>K = （aH+b）＊Ｌ</t>
  </si>
  <si>
    <t>W（ｍ）</t>
  </si>
  <si>
    <t>Ｘ＝Ｌ／Ｗ</t>
  </si>
  <si>
    <t>＊＊＊</t>
  </si>
  <si>
    <t>b</t>
  </si>
  <si>
    <t>＊＊＊</t>
  </si>
  <si>
    <t>底　面</t>
  </si>
  <si>
    <t>1ｍ　≦　H　≦　５ｍ</t>
  </si>
  <si>
    <r>
      <t>1.94X</t>
    </r>
    <r>
      <rPr>
        <vertAlign val="superscript"/>
        <sz val="11"/>
        <rFont val="ＭＳ Ｐゴシック"/>
        <family val="3"/>
      </rPr>
      <t>-0.328</t>
    </r>
  </si>
  <si>
    <r>
      <t>2.29X</t>
    </r>
    <r>
      <rPr>
        <vertAlign val="superscript"/>
        <sz val="11"/>
        <rFont val="ＭＳ Ｐゴシック"/>
        <family val="3"/>
      </rPr>
      <t>-0.397</t>
    </r>
  </si>
  <si>
    <r>
      <t>2.37X</t>
    </r>
    <r>
      <rPr>
        <vertAlign val="superscript"/>
        <sz val="11"/>
        <rFont val="ＭＳ Ｐゴシック"/>
        <family val="3"/>
      </rPr>
      <t>-0.488</t>
    </r>
  </si>
  <si>
    <r>
      <t>2.17X</t>
    </r>
    <r>
      <rPr>
        <vertAlign val="superscript"/>
        <sz val="11"/>
        <rFont val="ＭＳ Ｐゴシック"/>
        <family val="3"/>
      </rPr>
      <t>-0.518</t>
    </r>
  </si>
  <si>
    <r>
      <t>1.96X</t>
    </r>
    <r>
      <rPr>
        <vertAlign val="superscript"/>
        <sz val="11"/>
        <rFont val="ＭＳ Ｐゴシック"/>
        <family val="3"/>
      </rPr>
      <t>-0.554</t>
    </r>
  </si>
  <si>
    <r>
      <t>1.76X</t>
    </r>
    <r>
      <rPr>
        <vertAlign val="superscript"/>
        <sz val="11"/>
        <rFont val="ＭＳ Ｐゴシック"/>
        <family val="3"/>
      </rPr>
      <t>-0.609</t>
    </r>
  </si>
  <si>
    <t>ｍ</t>
  </si>
  <si>
    <t>※略図ですので、参考としてください。</t>
  </si>
  <si>
    <t>1.458*W*W+1.27*W+0.362</t>
  </si>
  <si>
    <t xml:space="preserve"> （ｍｍ／hr）吉見町指定</t>
  </si>
  <si>
    <t>透水性舗装</t>
  </si>
  <si>
    <t>間地（空地）</t>
  </si>
  <si>
    <t>（単粒度砕石φ３０orφ４０）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</si>
</sst>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"/>
    <numFmt numFmtId="178" formatCode="0.00000"/>
    <numFmt numFmtId="179" formatCode="0.0000"/>
    <numFmt numFmtId="180" formatCode="0.0"/>
    <numFmt numFmtId="181" formatCode="0.0000000"/>
    <numFmt numFmtId="182" formatCode="0.00000000"/>
    <numFmt numFmtId="183" formatCode="0.00_ "/>
    <numFmt numFmtId="184" formatCode="0.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_);[Red]\(0\)"/>
    <numFmt numFmtId="192" formatCode="0.0_);[Red]\(0.0\)"/>
    <numFmt numFmtId="193" formatCode="0.00_);[Red]\(0.00\)"/>
    <numFmt numFmtId="194" formatCode="0.000_);[Red]\(0.0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doub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id"/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18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176" fontId="0" fillId="0" borderId="0" xfId="0" applyNumberForma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 wrapText="1"/>
    </xf>
    <xf numFmtId="0" fontId="0" fillId="0" borderId="21" xfId="0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Continuous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Continuous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Continuous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centerContinuous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Continuous" vertical="center" wrapText="1"/>
    </xf>
    <xf numFmtId="0" fontId="0" fillId="1" borderId="26" xfId="0" applyFill="1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 wrapText="1"/>
    </xf>
    <xf numFmtId="0" fontId="0" fillId="0" borderId="0" xfId="0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/>
    </xf>
    <xf numFmtId="183" fontId="0" fillId="0" borderId="1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90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Continuous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90" fontId="0" fillId="0" borderId="14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35" borderId="1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5" xfId="0" applyFill="1" applyBorder="1" applyAlignment="1">
      <alignment horizontal="left" vertical="center"/>
    </xf>
    <xf numFmtId="0" fontId="0" fillId="35" borderId="23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17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Continuous" vertical="center"/>
    </xf>
    <xf numFmtId="0" fontId="0" fillId="37" borderId="10" xfId="0" applyFill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 vertical="center"/>
      <protection/>
    </xf>
    <xf numFmtId="183" fontId="0" fillId="0" borderId="0" xfId="0" applyNumberFormat="1" applyBorder="1" applyAlignment="1">
      <alignment horizontal="center" vertical="center"/>
    </xf>
    <xf numFmtId="176" fontId="0" fillId="37" borderId="10" xfId="0" applyNumberFormat="1" applyFill="1" applyBorder="1" applyAlignment="1" applyProtection="1">
      <alignment horizontal="center" vertical="center"/>
      <protection locked="0"/>
    </xf>
    <xf numFmtId="179" fontId="0" fillId="37" borderId="10" xfId="0" applyNumberFormat="1" applyFill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left" vertical="center"/>
      <protection locked="0"/>
    </xf>
    <xf numFmtId="0" fontId="0" fillId="37" borderId="0" xfId="0" applyFill="1" applyBorder="1" applyAlignment="1" applyProtection="1">
      <alignment horizontal="left" vertical="center"/>
      <protection locked="0"/>
    </xf>
    <xf numFmtId="0" fontId="0" fillId="37" borderId="0" xfId="0" applyFill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right" vertical="center" wrapText="1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193" fontId="0" fillId="0" borderId="10" xfId="0" applyNumberFormat="1" applyBorder="1" applyAlignment="1">
      <alignment horizontal="center" vertical="center"/>
    </xf>
    <xf numFmtId="193" fontId="0" fillId="0" borderId="28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5</xdr:row>
      <xdr:rowOff>0</xdr:rowOff>
    </xdr:from>
    <xdr:to>
      <xdr:col>11</xdr:col>
      <xdr:colOff>419100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46196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0</xdr:rowOff>
    </xdr:from>
    <xdr:to>
      <xdr:col>11</xdr:col>
      <xdr:colOff>381000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4667250" y="1371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6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361950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>
          <a:off x="2895600" y="320992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8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9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0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1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2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14</xdr:col>
      <xdr:colOff>9525</xdr:colOff>
      <xdr:row>18</xdr:row>
      <xdr:rowOff>9525</xdr:rowOff>
    </xdr:to>
    <xdr:sp>
      <xdr:nvSpPr>
        <xdr:cNvPr id="13" name="Rectangle 22"/>
        <xdr:cNvSpPr>
          <a:spLocks/>
        </xdr:cNvSpPr>
      </xdr:nvSpPr>
      <xdr:spPr>
        <a:xfrm>
          <a:off x="3686175" y="2057400"/>
          <a:ext cx="2562225" cy="2066925"/>
        </a:xfrm>
        <a:prstGeom prst="rect">
          <a:avLst/>
        </a:prstGeom>
        <a:noFill/>
        <a:ln w="28575" cmpd="sng">
          <a:solidFill>
            <a:srgbClr val="0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14" name="Line 24"/>
        <xdr:cNvSpPr>
          <a:spLocks/>
        </xdr:cNvSpPr>
      </xdr:nvSpPr>
      <xdr:spPr>
        <a:xfrm>
          <a:off x="65913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15" name="Line 25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12</xdr:row>
      <xdr:rowOff>209550</xdr:rowOff>
    </xdr:from>
    <xdr:to>
      <xdr:col>11</xdr:col>
      <xdr:colOff>400050</xdr:colOff>
      <xdr:row>15</xdr:row>
      <xdr:rowOff>57150</xdr:rowOff>
    </xdr:to>
    <xdr:sp>
      <xdr:nvSpPr>
        <xdr:cNvPr id="16" name="Oval 26" descr="10%"/>
        <xdr:cNvSpPr>
          <a:spLocks/>
        </xdr:cNvSpPr>
      </xdr:nvSpPr>
      <xdr:spPr>
        <a:xfrm>
          <a:off x="4629150" y="2952750"/>
          <a:ext cx="561975" cy="533400"/>
        </a:xfrm>
        <a:prstGeom prst="ellipse">
          <a:avLst/>
        </a:prstGeom>
        <a:pattFill prst="pct10">
          <a:fgClr>
            <a:srgbClr val="000000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13</xdr:row>
      <xdr:rowOff>47625</xdr:rowOff>
    </xdr:from>
    <xdr:to>
      <xdr:col>11</xdr:col>
      <xdr:colOff>333375</xdr:colOff>
      <xdr:row>14</xdr:row>
      <xdr:rowOff>219075</xdr:rowOff>
    </xdr:to>
    <xdr:sp>
      <xdr:nvSpPr>
        <xdr:cNvPr id="17" name="Oval 27"/>
        <xdr:cNvSpPr>
          <a:spLocks/>
        </xdr:cNvSpPr>
      </xdr:nvSpPr>
      <xdr:spPr>
        <a:xfrm>
          <a:off x="4695825" y="3019425"/>
          <a:ext cx="428625" cy="400050"/>
        </a:xfrm>
        <a:prstGeom prst="ellips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4</xdr:row>
      <xdr:rowOff>190500</xdr:rowOff>
    </xdr:from>
    <xdr:to>
      <xdr:col>10</xdr:col>
      <xdr:colOff>390525</xdr:colOff>
      <xdr:row>14</xdr:row>
      <xdr:rowOff>38100</xdr:rowOff>
    </xdr:to>
    <xdr:sp>
      <xdr:nvSpPr>
        <xdr:cNvPr id="18" name="Line 4"/>
        <xdr:cNvSpPr>
          <a:spLocks/>
        </xdr:cNvSpPr>
      </xdr:nvSpPr>
      <xdr:spPr>
        <a:xfrm>
          <a:off x="4629150" y="11049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5</xdr:row>
      <xdr:rowOff>171450</xdr:rowOff>
    </xdr:from>
    <xdr:to>
      <xdr:col>10</xdr:col>
      <xdr:colOff>438150</xdr:colOff>
      <xdr:row>13</xdr:row>
      <xdr:rowOff>104775</xdr:rowOff>
    </xdr:to>
    <xdr:sp>
      <xdr:nvSpPr>
        <xdr:cNvPr id="19" name="Line 5"/>
        <xdr:cNvSpPr>
          <a:spLocks/>
        </xdr:cNvSpPr>
      </xdr:nvSpPr>
      <xdr:spPr>
        <a:xfrm flipH="1">
          <a:off x="4667250" y="131445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171450</xdr:rowOff>
    </xdr:from>
    <xdr:to>
      <xdr:col>11</xdr:col>
      <xdr:colOff>361950</xdr:colOff>
      <xdr:row>13</xdr:row>
      <xdr:rowOff>104775</xdr:rowOff>
    </xdr:to>
    <xdr:sp>
      <xdr:nvSpPr>
        <xdr:cNvPr id="20" name="Line 20"/>
        <xdr:cNvSpPr>
          <a:spLocks/>
        </xdr:cNvSpPr>
      </xdr:nvSpPr>
      <xdr:spPr>
        <a:xfrm flipH="1">
          <a:off x="5143500" y="1314450"/>
          <a:ext cx="95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4</xdr:row>
      <xdr:rowOff>180975</xdr:rowOff>
    </xdr:from>
    <xdr:to>
      <xdr:col>11</xdr:col>
      <xdr:colOff>409575</xdr:colOff>
      <xdr:row>14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5200650" y="10953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4" name="Line 8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5" name="Line 10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7" name="Line 12"/>
        <xdr:cNvSpPr>
          <a:spLocks/>
        </xdr:cNvSpPr>
      </xdr:nvSpPr>
      <xdr:spPr>
        <a:xfrm>
          <a:off x="6305550" y="4352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8" name="Line 13"/>
        <xdr:cNvSpPr>
          <a:spLocks/>
        </xdr:cNvSpPr>
      </xdr:nvSpPr>
      <xdr:spPr>
        <a:xfrm>
          <a:off x="6324600" y="2057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9" name="Line 18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10" name="Line 19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4</xdr:row>
      <xdr:rowOff>190500</xdr:rowOff>
    </xdr:from>
    <xdr:to>
      <xdr:col>8</xdr:col>
      <xdr:colOff>342900</xdr:colOff>
      <xdr:row>6</xdr:row>
      <xdr:rowOff>209550</xdr:rowOff>
    </xdr:to>
    <xdr:sp>
      <xdr:nvSpPr>
        <xdr:cNvPr id="11" name="Line 20"/>
        <xdr:cNvSpPr>
          <a:spLocks/>
        </xdr:cNvSpPr>
      </xdr:nvSpPr>
      <xdr:spPr>
        <a:xfrm>
          <a:off x="4029075" y="11049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219075</xdr:rowOff>
    </xdr:to>
    <xdr:sp>
      <xdr:nvSpPr>
        <xdr:cNvPr id="12" name="Line 21"/>
        <xdr:cNvSpPr>
          <a:spLocks/>
        </xdr:cNvSpPr>
      </xdr:nvSpPr>
      <xdr:spPr>
        <a:xfrm flipH="1">
          <a:off x="4238625" y="1371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3" name="Line 22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5</xdr:row>
      <xdr:rowOff>19050</xdr:rowOff>
    </xdr:from>
    <xdr:to>
      <xdr:col>12</xdr:col>
      <xdr:colOff>180975</xdr:colOff>
      <xdr:row>5</xdr:row>
      <xdr:rowOff>19050</xdr:rowOff>
    </xdr:to>
    <xdr:sp>
      <xdr:nvSpPr>
        <xdr:cNvPr id="14" name="Line 23"/>
        <xdr:cNvSpPr>
          <a:spLocks/>
        </xdr:cNvSpPr>
      </xdr:nvSpPr>
      <xdr:spPr>
        <a:xfrm>
          <a:off x="4019550" y="11620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85725</xdr:rowOff>
    </xdr:from>
    <xdr:to>
      <xdr:col>11</xdr:col>
      <xdr:colOff>885825</xdr:colOff>
      <xdr:row>6</xdr:row>
      <xdr:rowOff>85725</xdr:rowOff>
    </xdr:to>
    <xdr:sp>
      <xdr:nvSpPr>
        <xdr:cNvPr id="15" name="Line 24"/>
        <xdr:cNvSpPr>
          <a:spLocks/>
        </xdr:cNvSpPr>
      </xdr:nvSpPr>
      <xdr:spPr>
        <a:xfrm>
          <a:off x="4210050" y="14573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6" name="Line 25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95250</xdr:colOff>
      <xdr:row>14</xdr:row>
      <xdr:rowOff>0</xdr:rowOff>
    </xdr:to>
    <xdr:sp>
      <xdr:nvSpPr>
        <xdr:cNvPr id="17" name="Line 26"/>
        <xdr:cNvSpPr>
          <a:spLocks/>
        </xdr:cNvSpPr>
      </xdr:nvSpPr>
      <xdr:spPr>
        <a:xfrm>
          <a:off x="2895600" y="3200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8" name="Line 27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9" name="Line 28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20" name="Line 29"/>
        <xdr:cNvSpPr>
          <a:spLocks/>
        </xdr:cNvSpPr>
      </xdr:nvSpPr>
      <xdr:spPr>
        <a:xfrm>
          <a:off x="6305550" y="4352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21" name="Line 30"/>
        <xdr:cNvSpPr>
          <a:spLocks/>
        </xdr:cNvSpPr>
      </xdr:nvSpPr>
      <xdr:spPr>
        <a:xfrm>
          <a:off x="6324600" y="2057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9</xdr:row>
      <xdr:rowOff>0</xdr:rowOff>
    </xdr:from>
    <xdr:to>
      <xdr:col>15</xdr:col>
      <xdr:colOff>504825</xdr:colOff>
      <xdr:row>17</xdr:row>
      <xdr:rowOff>190500</xdr:rowOff>
    </xdr:to>
    <xdr:sp>
      <xdr:nvSpPr>
        <xdr:cNvPr id="22" name="Line 31"/>
        <xdr:cNvSpPr>
          <a:spLocks/>
        </xdr:cNvSpPr>
      </xdr:nvSpPr>
      <xdr:spPr>
        <a:xfrm flipV="1">
          <a:off x="7134225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885825</xdr:colOff>
      <xdr:row>6</xdr:row>
      <xdr:rowOff>0</xdr:rowOff>
    </xdr:from>
    <xdr:to>
      <xdr:col>11</xdr:col>
      <xdr:colOff>885825</xdr:colOff>
      <xdr:row>6</xdr:row>
      <xdr:rowOff>219075</xdr:rowOff>
    </xdr:to>
    <xdr:sp>
      <xdr:nvSpPr>
        <xdr:cNvPr id="23" name="Line 32"/>
        <xdr:cNvSpPr>
          <a:spLocks/>
        </xdr:cNvSpPr>
      </xdr:nvSpPr>
      <xdr:spPr>
        <a:xfrm>
          <a:off x="5676900" y="1371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180975</xdr:rowOff>
    </xdr:from>
    <xdr:to>
      <xdr:col>13</xdr:col>
      <xdr:colOff>0</xdr:colOff>
      <xdr:row>6</xdr:row>
      <xdr:rowOff>190500</xdr:rowOff>
    </xdr:to>
    <xdr:sp>
      <xdr:nvSpPr>
        <xdr:cNvPr id="24" name="Line 33"/>
        <xdr:cNvSpPr>
          <a:spLocks/>
        </xdr:cNvSpPr>
      </xdr:nvSpPr>
      <xdr:spPr>
        <a:xfrm>
          <a:off x="5886450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9525</xdr:rowOff>
    </xdr:from>
    <xdr:to>
      <xdr:col>15</xdr:col>
      <xdr:colOff>523875</xdr:colOff>
      <xdr:row>18</xdr:row>
      <xdr:rowOff>9525</xdr:rowOff>
    </xdr:to>
    <xdr:sp>
      <xdr:nvSpPr>
        <xdr:cNvPr id="25" name="Line 34"/>
        <xdr:cNvSpPr>
          <a:spLocks/>
        </xdr:cNvSpPr>
      </xdr:nvSpPr>
      <xdr:spPr>
        <a:xfrm>
          <a:off x="6305550" y="4124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6" name="Line 35"/>
        <xdr:cNvSpPr>
          <a:spLocks/>
        </xdr:cNvSpPr>
      </xdr:nvSpPr>
      <xdr:spPr>
        <a:xfrm flipH="1" flipV="1">
          <a:off x="66294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16</xdr:row>
      <xdr:rowOff>9525</xdr:rowOff>
    </xdr:from>
    <xdr:to>
      <xdr:col>15</xdr:col>
      <xdr:colOff>314325</xdr:colOff>
      <xdr:row>16</xdr:row>
      <xdr:rowOff>9525</xdr:rowOff>
    </xdr:to>
    <xdr:sp>
      <xdr:nvSpPr>
        <xdr:cNvPr id="27" name="Line 37"/>
        <xdr:cNvSpPr>
          <a:spLocks/>
        </xdr:cNvSpPr>
      </xdr:nvSpPr>
      <xdr:spPr>
        <a:xfrm>
          <a:off x="629602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15</xdr:row>
      <xdr:rowOff>0</xdr:rowOff>
    </xdr:from>
    <xdr:to>
      <xdr:col>15</xdr:col>
      <xdr:colOff>19050</xdr:colOff>
      <xdr:row>15</xdr:row>
      <xdr:rowOff>0</xdr:rowOff>
    </xdr:to>
    <xdr:sp>
      <xdr:nvSpPr>
        <xdr:cNvPr id="28" name="Line 38"/>
        <xdr:cNvSpPr>
          <a:spLocks/>
        </xdr:cNvSpPr>
      </xdr:nvSpPr>
      <xdr:spPr>
        <a:xfrm>
          <a:off x="6296025" y="3429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9</xdr:row>
      <xdr:rowOff>0</xdr:rowOff>
    </xdr:from>
    <xdr:to>
      <xdr:col>15</xdr:col>
      <xdr:colOff>276225</xdr:colOff>
      <xdr:row>15</xdr:row>
      <xdr:rowOff>219075</xdr:rowOff>
    </xdr:to>
    <xdr:sp>
      <xdr:nvSpPr>
        <xdr:cNvPr id="29" name="Line 39"/>
        <xdr:cNvSpPr>
          <a:spLocks/>
        </xdr:cNvSpPr>
      </xdr:nvSpPr>
      <xdr:spPr>
        <a:xfrm flipV="1">
          <a:off x="6896100" y="205740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0</xdr:rowOff>
    </xdr:to>
    <xdr:sp>
      <xdr:nvSpPr>
        <xdr:cNvPr id="30" name="Line 40"/>
        <xdr:cNvSpPr>
          <a:spLocks/>
        </xdr:cNvSpPr>
      </xdr:nvSpPr>
      <xdr:spPr>
        <a:xfrm flipV="1">
          <a:off x="6629400" y="20478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31" name="Group 49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32" name="Line 50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51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52"/>
          <xdr:cNvSpPr>
            <a:spLocks/>
          </xdr:cNvSpPr>
        </xdr:nvSpPr>
        <xdr:spPr>
          <a:xfrm>
            <a:off x="387" y="432"/>
            <a:ext cx="268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53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4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8</xdr:row>
      <xdr:rowOff>95250</xdr:rowOff>
    </xdr:from>
    <xdr:to>
      <xdr:col>11</xdr:col>
      <xdr:colOff>266700</xdr:colOff>
      <xdr:row>8</xdr:row>
      <xdr:rowOff>219075</xdr:rowOff>
    </xdr:to>
    <xdr:sp>
      <xdr:nvSpPr>
        <xdr:cNvPr id="37" name="AutoShape 55"/>
        <xdr:cNvSpPr>
          <a:spLocks/>
        </xdr:cNvSpPr>
      </xdr:nvSpPr>
      <xdr:spPr>
        <a:xfrm>
          <a:off x="4857750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9</xdr:row>
      <xdr:rowOff>0</xdr:rowOff>
    </xdr:from>
    <xdr:to>
      <xdr:col>11</xdr:col>
      <xdr:colOff>800100</xdr:colOff>
      <xdr:row>9</xdr:row>
      <xdr:rowOff>0</xdr:rowOff>
    </xdr:to>
    <xdr:sp>
      <xdr:nvSpPr>
        <xdr:cNvPr id="38" name="Line 56"/>
        <xdr:cNvSpPr>
          <a:spLocks/>
        </xdr:cNvSpPr>
      </xdr:nvSpPr>
      <xdr:spPr>
        <a:xfrm>
          <a:off x="4371975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39" name="Group 57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0" name="Line 58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9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42" name="Group 60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3" name="Line 61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62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45" name="Group 63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6" name="Line 64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65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48" name="Group 66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9" name="Line 67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8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15</xdr:row>
      <xdr:rowOff>19050</xdr:rowOff>
    </xdr:from>
    <xdr:to>
      <xdr:col>10</xdr:col>
      <xdr:colOff>381000</xdr:colOff>
      <xdr:row>15</xdr:row>
      <xdr:rowOff>219075</xdr:rowOff>
    </xdr:to>
    <xdr:grpSp>
      <xdr:nvGrpSpPr>
        <xdr:cNvPr id="51" name="Group 69"/>
        <xdr:cNvGrpSpPr>
          <a:grpSpLocks/>
        </xdr:cNvGrpSpPr>
      </xdr:nvGrpSpPr>
      <xdr:grpSpPr>
        <a:xfrm rot="5400000">
          <a:off x="4467225" y="3448050"/>
          <a:ext cx="152400" cy="200025"/>
          <a:chOff x="424" y="240"/>
          <a:chExt cx="21" cy="16"/>
        </a:xfrm>
        <a:solidFill>
          <a:srgbClr val="FFFFFF"/>
        </a:solidFill>
      </xdr:grpSpPr>
      <xdr:sp>
        <xdr:nvSpPr>
          <xdr:cNvPr id="52" name="Line 7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7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15</xdr:row>
      <xdr:rowOff>19050</xdr:rowOff>
    </xdr:from>
    <xdr:to>
      <xdr:col>11</xdr:col>
      <xdr:colOff>666750</xdr:colOff>
      <xdr:row>15</xdr:row>
      <xdr:rowOff>219075</xdr:rowOff>
    </xdr:to>
    <xdr:grpSp>
      <xdr:nvGrpSpPr>
        <xdr:cNvPr id="54" name="Group 72"/>
        <xdr:cNvGrpSpPr>
          <a:grpSpLocks/>
        </xdr:cNvGrpSpPr>
      </xdr:nvGrpSpPr>
      <xdr:grpSpPr>
        <a:xfrm rot="5400000">
          <a:off x="5305425" y="3448050"/>
          <a:ext cx="152400" cy="200025"/>
          <a:chOff x="424" y="240"/>
          <a:chExt cx="21" cy="16"/>
        </a:xfrm>
        <a:solidFill>
          <a:srgbClr val="FFFFFF"/>
        </a:solidFill>
      </xdr:grpSpPr>
      <xdr:sp>
        <xdr:nvSpPr>
          <xdr:cNvPr id="55" name="Line 7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7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886450" y="1076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180975</xdr:rowOff>
    </xdr:from>
    <xdr:to>
      <xdr:col>9</xdr:col>
      <xdr:colOff>9525</xdr:colOff>
      <xdr:row>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04812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171450</xdr:rowOff>
    </xdr:from>
    <xdr:to>
      <xdr:col>10</xdr:col>
      <xdr:colOff>0</xdr:colOff>
      <xdr:row>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238625" y="1314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171450</xdr:rowOff>
    </xdr:from>
    <xdr:to>
      <xdr:col>12</xdr:col>
      <xdr:colOff>0</xdr:colOff>
      <xdr:row>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86425" y="131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190500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4048125" y="114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885825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1371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95600" y="3200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0</xdr:rowOff>
    </xdr:from>
    <xdr:to>
      <xdr:col>15</xdr:col>
      <xdr:colOff>38100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0" y="3657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7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219075</xdr:rowOff>
    </xdr:to>
    <xdr:sp>
      <xdr:nvSpPr>
        <xdr:cNvPr id="18" name="Line 18"/>
        <xdr:cNvSpPr>
          <a:spLocks/>
        </xdr:cNvSpPr>
      </xdr:nvSpPr>
      <xdr:spPr>
        <a:xfrm flipV="1">
          <a:off x="65913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19" name="Group 30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20" name="Line 31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2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3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4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5"/>
          <xdr:cNvSpPr>
            <a:spLocks/>
          </xdr:cNvSpPr>
        </xdr:nvSpPr>
        <xdr:spPr>
          <a:xfrm>
            <a:off x="388" y="432"/>
            <a:ext cx="26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9525</xdr:rowOff>
    </xdr:from>
    <xdr:to>
      <xdr:col>15</xdr:col>
      <xdr:colOff>0</xdr:colOff>
      <xdr:row>19</xdr:row>
      <xdr:rowOff>0</xdr:rowOff>
    </xdr:to>
    <xdr:sp>
      <xdr:nvSpPr>
        <xdr:cNvPr id="25" name="Line 36"/>
        <xdr:cNvSpPr>
          <a:spLocks/>
        </xdr:cNvSpPr>
      </xdr:nvSpPr>
      <xdr:spPr>
        <a:xfrm>
          <a:off x="6591300" y="412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26" name="Line 37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95250</xdr:rowOff>
    </xdr:from>
    <xdr:to>
      <xdr:col>11</xdr:col>
      <xdr:colOff>257175</xdr:colOff>
      <xdr:row>8</xdr:row>
      <xdr:rowOff>219075</xdr:rowOff>
    </xdr:to>
    <xdr:sp>
      <xdr:nvSpPr>
        <xdr:cNvPr id="27" name="AutoShape 38"/>
        <xdr:cNvSpPr>
          <a:spLocks/>
        </xdr:cNvSpPr>
      </xdr:nvSpPr>
      <xdr:spPr>
        <a:xfrm>
          <a:off x="4848225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9</xdr:row>
      <xdr:rowOff>0</xdr:rowOff>
    </xdr:from>
    <xdr:to>
      <xdr:col>11</xdr:col>
      <xdr:colOff>790575</xdr:colOff>
      <xdr:row>9</xdr:row>
      <xdr:rowOff>0</xdr:rowOff>
    </xdr:to>
    <xdr:sp>
      <xdr:nvSpPr>
        <xdr:cNvPr id="28" name="Line 39"/>
        <xdr:cNvSpPr>
          <a:spLocks/>
        </xdr:cNvSpPr>
      </xdr:nvSpPr>
      <xdr:spPr>
        <a:xfrm>
          <a:off x="4362450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29" name="Group 40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0" name="Line 41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2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32" name="Group 43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3" name="Line 44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5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0</xdr:rowOff>
    </xdr:from>
    <xdr:to>
      <xdr:col>10</xdr:col>
      <xdr:colOff>19050</xdr:colOff>
      <xdr:row>14</xdr:row>
      <xdr:rowOff>152400</xdr:rowOff>
    </xdr:to>
    <xdr:grpSp>
      <xdr:nvGrpSpPr>
        <xdr:cNvPr id="35" name="Group 46"/>
        <xdr:cNvGrpSpPr>
          <a:grpSpLocks/>
        </xdr:cNvGrpSpPr>
      </xdr:nvGrpSpPr>
      <xdr:grpSpPr>
        <a:xfrm>
          <a:off x="4057650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6" name="Line 47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8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38" name="Group 49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9" name="Line 5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41" name="Group 52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2" name="Line 5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19050</xdr:colOff>
      <xdr:row>14</xdr:row>
      <xdr:rowOff>152400</xdr:rowOff>
    </xdr:to>
    <xdr:grpSp>
      <xdr:nvGrpSpPr>
        <xdr:cNvPr id="44" name="Group 55"/>
        <xdr:cNvGrpSpPr>
          <a:grpSpLocks/>
        </xdr:cNvGrpSpPr>
      </xdr:nvGrpSpPr>
      <xdr:grpSpPr>
        <a:xfrm>
          <a:off x="5705475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5" name="Line 56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7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200025</xdr:rowOff>
    </xdr:from>
    <xdr:to>
      <xdr:col>7</xdr:col>
      <xdr:colOff>342900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86175" y="8858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190500</xdr:rowOff>
    </xdr:from>
    <xdr:to>
      <xdr:col>14</xdr:col>
      <xdr:colOff>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238875" y="8763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886450" y="10763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180975</xdr:rowOff>
    </xdr:from>
    <xdr:to>
      <xdr:col>9</xdr:col>
      <xdr:colOff>9525</xdr:colOff>
      <xdr:row>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048125" y="1095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171450</xdr:rowOff>
    </xdr:from>
    <xdr:to>
      <xdr:col>10</xdr:col>
      <xdr:colOff>0</xdr:colOff>
      <xdr:row>6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238625" y="1314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171450</xdr:rowOff>
    </xdr:from>
    <xdr:to>
      <xdr:col>12</xdr:col>
      <xdr:colOff>0</xdr:colOff>
      <xdr:row>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86425" y="131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686175" y="9144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190500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4048125" y="114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11</xdr:col>
      <xdr:colOff>885825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1371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219075</xdr:rowOff>
    </xdr:from>
    <xdr:to>
      <xdr:col>8</xdr:col>
      <xdr:colOff>0</xdr:colOff>
      <xdr:row>11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2819400" y="2733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95600" y="3200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123825</xdr:colOff>
      <xdr:row>17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05125" y="3895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886075" y="182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9525</xdr:rowOff>
    </xdr:from>
    <xdr:to>
      <xdr:col>15</xdr:col>
      <xdr:colOff>523875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305550" y="4352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0</xdr:rowOff>
    </xdr:from>
    <xdr:to>
      <xdr:col>15</xdr:col>
      <xdr:colOff>542925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6324600" y="20574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0</xdr:rowOff>
    </xdr:from>
    <xdr:to>
      <xdr:col>15</xdr:col>
      <xdr:colOff>38100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0" y="3657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9</xdr:row>
      <xdr:rowOff>0</xdr:rowOff>
    </xdr:from>
    <xdr:to>
      <xdr:col>15</xdr:col>
      <xdr:colOff>514350</xdr:colOff>
      <xdr:row>17</xdr:row>
      <xdr:rowOff>190500</xdr:rowOff>
    </xdr:to>
    <xdr:sp>
      <xdr:nvSpPr>
        <xdr:cNvPr id="17" name="Line 17"/>
        <xdr:cNvSpPr>
          <a:spLocks/>
        </xdr:cNvSpPr>
      </xdr:nvSpPr>
      <xdr:spPr>
        <a:xfrm flipV="1">
          <a:off x="7105650" y="20574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219075</xdr:rowOff>
    </xdr:from>
    <xdr:to>
      <xdr:col>15</xdr:col>
      <xdr:colOff>0</xdr:colOff>
      <xdr:row>15</xdr:row>
      <xdr:rowOff>219075</xdr:rowOff>
    </xdr:to>
    <xdr:sp>
      <xdr:nvSpPr>
        <xdr:cNvPr id="18" name="Line 18"/>
        <xdr:cNvSpPr>
          <a:spLocks/>
        </xdr:cNvSpPr>
      </xdr:nvSpPr>
      <xdr:spPr>
        <a:xfrm flipV="1">
          <a:off x="65913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219075</xdr:rowOff>
    </xdr:from>
    <xdr:to>
      <xdr:col>14</xdr:col>
      <xdr:colOff>9525</xdr:colOff>
      <xdr:row>18</xdr:row>
      <xdr:rowOff>0</xdr:rowOff>
    </xdr:to>
    <xdr:grpSp>
      <xdr:nvGrpSpPr>
        <xdr:cNvPr id="19" name="Group 31"/>
        <xdr:cNvGrpSpPr>
          <a:grpSpLocks/>
        </xdr:cNvGrpSpPr>
      </xdr:nvGrpSpPr>
      <xdr:grpSpPr>
        <a:xfrm>
          <a:off x="3686175" y="2047875"/>
          <a:ext cx="2562225" cy="2066925"/>
          <a:chOff x="387" y="215"/>
          <a:chExt cx="269" cy="217"/>
        </a:xfrm>
        <a:solidFill>
          <a:srgbClr val="FFFFFF"/>
        </a:solidFill>
      </xdr:grpSpPr>
      <xdr:sp>
        <xdr:nvSpPr>
          <xdr:cNvPr id="20" name="Line 32"/>
          <xdr:cNvSpPr>
            <a:spLocks/>
          </xdr:cNvSpPr>
        </xdr:nvSpPr>
        <xdr:spPr>
          <a:xfrm>
            <a:off x="387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3"/>
          <xdr:cNvSpPr>
            <a:spLocks/>
          </xdr:cNvSpPr>
        </xdr:nvSpPr>
        <xdr:spPr>
          <a:xfrm>
            <a:off x="387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4"/>
          <xdr:cNvSpPr>
            <a:spLocks/>
          </xdr:cNvSpPr>
        </xdr:nvSpPr>
        <xdr:spPr>
          <a:xfrm>
            <a:off x="387" y="432"/>
            <a:ext cx="268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5"/>
          <xdr:cNvSpPr>
            <a:spLocks/>
          </xdr:cNvSpPr>
        </xdr:nvSpPr>
        <xdr:spPr>
          <a:xfrm>
            <a:off x="656" y="215"/>
            <a:ext cx="0" cy="21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6"/>
          <xdr:cNvSpPr>
            <a:spLocks/>
          </xdr:cNvSpPr>
        </xdr:nvSpPr>
        <xdr:spPr>
          <a:xfrm>
            <a:off x="619" y="216"/>
            <a:ext cx="37" cy="0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19050</xdr:rowOff>
    </xdr:from>
    <xdr:to>
      <xdr:col>15</xdr:col>
      <xdr:colOff>0</xdr:colOff>
      <xdr:row>19</xdr:row>
      <xdr:rowOff>9525</xdr:rowOff>
    </xdr:to>
    <xdr:sp>
      <xdr:nvSpPr>
        <xdr:cNvPr id="25" name="Line 37"/>
        <xdr:cNvSpPr>
          <a:spLocks/>
        </xdr:cNvSpPr>
      </xdr:nvSpPr>
      <xdr:spPr>
        <a:xfrm>
          <a:off x="6591300" y="4133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0</xdr:rowOff>
    </xdr:from>
    <xdr:to>
      <xdr:col>15</xdr:col>
      <xdr:colOff>523875</xdr:colOff>
      <xdr:row>18</xdr:row>
      <xdr:rowOff>0</xdr:rowOff>
    </xdr:to>
    <xdr:sp>
      <xdr:nvSpPr>
        <xdr:cNvPr id="26" name="Line 38"/>
        <xdr:cNvSpPr>
          <a:spLocks/>
        </xdr:cNvSpPr>
      </xdr:nvSpPr>
      <xdr:spPr>
        <a:xfrm>
          <a:off x="6305550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10</xdr:col>
      <xdr:colOff>19050</xdr:colOff>
      <xdr:row>10</xdr:row>
      <xdr:rowOff>152400</xdr:rowOff>
    </xdr:to>
    <xdr:grpSp>
      <xdr:nvGrpSpPr>
        <xdr:cNvPr id="27" name="Group 39"/>
        <xdr:cNvGrpSpPr>
          <a:grpSpLocks/>
        </xdr:cNvGrpSpPr>
      </xdr:nvGrpSpPr>
      <xdr:grpSpPr>
        <a:xfrm>
          <a:off x="4057650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28" name="Line 40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41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12</xdr:row>
      <xdr:rowOff>0</xdr:rowOff>
    </xdr:from>
    <xdr:to>
      <xdr:col>10</xdr:col>
      <xdr:colOff>19050</xdr:colOff>
      <xdr:row>12</xdr:row>
      <xdr:rowOff>152400</xdr:rowOff>
    </xdr:to>
    <xdr:grpSp>
      <xdr:nvGrpSpPr>
        <xdr:cNvPr id="30" name="Group 42"/>
        <xdr:cNvGrpSpPr>
          <a:grpSpLocks/>
        </xdr:cNvGrpSpPr>
      </xdr:nvGrpSpPr>
      <xdr:grpSpPr>
        <a:xfrm>
          <a:off x="4057650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1" name="Line 43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4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0</xdr:rowOff>
    </xdr:from>
    <xdr:to>
      <xdr:col>10</xdr:col>
      <xdr:colOff>19050</xdr:colOff>
      <xdr:row>14</xdr:row>
      <xdr:rowOff>152400</xdr:rowOff>
    </xdr:to>
    <xdr:grpSp>
      <xdr:nvGrpSpPr>
        <xdr:cNvPr id="33" name="Group 45"/>
        <xdr:cNvGrpSpPr>
          <a:grpSpLocks/>
        </xdr:cNvGrpSpPr>
      </xdr:nvGrpSpPr>
      <xdr:grpSpPr>
        <a:xfrm>
          <a:off x="4057650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4" name="Line 46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7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10</xdr:row>
      <xdr:rowOff>0</xdr:rowOff>
    </xdr:from>
    <xdr:to>
      <xdr:col>13</xdr:col>
      <xdr:colOff>19050</xdr:colOff>
      <xdr:row>10</xdr:row>
      <xdr:rowOff>152400</xdr:rowOff>
    </xdr:to>
    <xdr:grpSp>
      <xdr:nvGrpSpPr>
        <xdr:cNvPr id="36" name="Group 48"/>
        <xdr:cNvGrpSpPr>
          <a:grpSpLocks/>
        </xdr:cNvGrpSpPr>
      </xdr:nvGrpSpPr>
      <xdr:grpSpPr>
        <a:xfrm>
          <a:off x="5705475" y="22860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37" name="Line 49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12</xdr:row>
      <xdr:rowOff>0</xdr:rowOff>
    </xdr:from>
    <xdr:to>
      <xdr:col>13</xdr:col>
      <xdr:colOff>19050</xdr:colOff>
      <xdr:row>12</xdr:row>
      <xdr:rowOff>152400</xdr:rowOff>
    </xdr:to>
    <xdr:grpSp>
      <xdr:nvGrpSpPr>
        <xdr:cNvPr id="39" name="Group 51"/>
        <xdr:cNvGrpSpPr>
          <a:grpSpLocks/>
        </xdr:cNvGrpSpPr>
      </xdr:nvGrpSpPr>
      <xdr:grpSpPr>
        <a:xfrm>
          <a:off x="5705475" y="27432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0" name="Line 52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3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19050</xdr:colOff>
      <xdr:row>14</xdr:row>
      <xdr:rowOff>152400</xdr:rowOff>
    </xdr:to>
    <xdr:grpSp>
      <xdr:nvGrpSpPr>
        <xdr:cNvPr id="42" name="Group 54"/>
        <xdr:cNvGrpSpPr>
          <a:grpSpLocks/>
        </xdr:cNvGrpSpPr>
      </xdr:nvGrpSpPr>
      <xdr:grpSpPr>
        <a:xfrm>
          <a:off x="5705475" y="3200400"/>
          <a:ext cx="200025" cy="152400"/>
          <a:chOff x="424" y="240"/>
          <a:chExt cx="21" cy="16"/>
        </a:xfrm>
        <a:solidFill>
          <a:srgbClr val="FFFFFF"/>
        </a:solidFill>
      </xdr:grpSpPr>
      <xdr:sp>
        <xdr:nvSpPr>
          <xdr:cNvPr id="43" name="Line 55"/>
          <xdr:cNvSpPr>
            <a:spLocks/>
          </xdr:cNvSpPr>
        </xdr:nvSpPr>
        <xdr:spPr>
          <a:xfrm>
            <a:off x="424" y="240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6"/>
          <xdr:cNvSpPr>
            <a:spLocks/>
          </xdr:cNvSpPr>
        </xdr:nvSpPr>
        <xdr:spPr>
          <a:xfrm>
            <a:off x="424" y="2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8</xdr:row>
      <xdr:rowOff>95250</xdr:rowOff>
    </xdr:from>
    <xdr:to>
      <xdr:col>11</xdr:col>
      <xdr:colOff>228600</xdr:colOff>
      <xdr:row>8</xdr:row>
      <xdr:rowOff>219075</xdr:rowOff>
    </xdr:to>
    <xdr:sp>
      <xdr:nvSpPr>
        <xdr:cNvPr id="45" name="AutoShape 57"/>
        <xdr:cNvSpPr>
          <a:spLocks/>
        </xdr:cNvSpPr>
      </xdr:nvSpPr>
      <xdr:spPr>
        <a:xfrm>
          <a:off x="4819650" y="1924050"/>
          <a:ext cx="200025" cy="1238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9</xdr:row>
      <xdr:rowOff>0</xdr:rowOff>
    </xdr:from>
    <xdr:to>
      <xdr:col>11</xdr:col>
      <xdr:colOff>762000</xdr:colOff>
      <xdr:row>9</xdr:row>
      <xdr:rowOff>0</xdr:rowOff>
    </xdr:to>
    <xdr:sp>
      <xdr:nvSpPr>
        <xdr:cNvPr id="46" name="Line 58"/>
        <xdr:cNvSpPr>
          <a:spLocks/>
        </xdr:cNvSpPr>
      </xdr:nvSpPr>
      <xdr:spPr>
        <a:xfrm>
          <a:off x="4333875" y="2057400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0" sqref="C10"/>
    </sheetView>
  </sheetViews>
  <sheetFormatPr defaultColWidth="9.00390625" defaultRowHeight="24" customHeight="1"/>
  <cols>
    <col min="1" max="1" width="4.625" style="1" customWidth="1"/>
    <col min="2" max="2" width="2.25390625" style="1" customWidth="1"/>
    <col min="3" max="3" width="85.375" style="1" bestFit="1" customWidth="1"/>
    <col min="4" max="4" width="12.125" style="1" customWidth="1"/>
    <col min="5" max="5" width="19.375" style="1" customWidth="1"/>
    <col min="6" max="6" width="10.75390625" style="1" customWidth="1"/>
    <col min="7" max="7" width="14.625" style="1" customWidth="1"/>
    <col min="8" max="16384" width="9.00390625" style="1" customWidth="1"/>
  </cols>
  <sheetData>
    <row r="1" spans="1:3" ht="24" customHeight="1">
      <c r="A1" s="1">
        <v>1</v>
      </c>
      <c r="C1" s="1" t="s">
        <v>174</v>
      </c>
    </row>
    <row r="2" ht="24" customHeight="1">
      <c r="C2" s="1" t="s">
        <v>175</v>
      </c>
    </row>
    <row r="4" spans="1:3" ht="24" customHeight="1">
      <c r="A4" s="1">
        <v>2</v>
      </c>
      <c r="C4" s="1" t="s">
        <v>176</v>
      </c>
    </row>
    <row r="5" ht="24" customHeight="1">
      <c r="C5" s="1" t="s">
        <v>205</v>
      </c>
    </row>
    <row r="6" ht="24" customHeight="1">
      <c r="C6" s="1" t="s">
        <v>177</v>
      </c>
    </row>
    <row r="8" spans="1:3" ht="24" customHeight="1">
      <c r="A8" s="1">
        <v>3</v>
      </c>
      <c r="C8" s="1" t="s">
        <v>204</v>
      </c>
    </row>
    <row r="9" ht="24" customHeight="1">
      <c r="C9" s="1" t="s">
        <v>178</v>
      </c>
    </row>
  </sheetData>
  <sheetProtection sheet="1" objects="1" scenarios="1"/>
  <printOptions/>
  <pageMargins left="0.75" right="0.31" top="1.54" bottom="1" header="1.07" footer="0.512"/>
  <pageSetup horizontalDpi="600" verticalDpi="6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1.00390625" style="101" customWidth="1"/>
    <col min="2" max="2" width="16.25390625" style="102" customWidth="1"/>
    <col min="3" max="8" width="12.625" style="102" customWidth="1"/>
    <col min="9" max="16384" width="9.00390625" style="102" customWidth="1"/>
  </cols>
  <sheetData>
    <row r="1" spans="1:8" s="101" customFormat="1" ht="24" customHeight="1">
      <c r="A1" s="98" t="s">
        <v>122</v>
      </c>
      <c r="B1" s="161" t="s">
        <v>211</v>
      </c>
      <c r="C1" s="162"/>
      <c r="D1" s="162"/>
      <c r="E1" s="162"/>
      <c r="F1" s="162"/>
      <c r="G1" s="162"/>
      <c r="H1" s="163"/>
    </row>
    <row r="2" spans="1:8" s="101" customFormat="1" ht="24" customHeight="1">
      <c r="A2" s="98" t="s">
        <v>58</v>
      </c>
      <c r="B2" s="161" t="s">
        <v>212</v>
      </c>
      <c r="C2" s="162"/>
      <c r="D2" s="162"/>
      <c r="E2" s="162"/>
      <c r="F2" s="162"/>
      <c r="G2" s="162"/>
      <c r="H2" s="163"/>
    </row>
    <row r="3" spans="1:8" s="101" customFormat="1" ht="24" customHeight="1">
      <c r="A3" s="98" t="s">
        <v>61</v>
      </c>
      <c r="B3" s="161" t="s">
        <v>230</v>
      </c>
      <c r="C3" s="162"/>
      <c r="D3" s="162"/>
      <c r="E3" s="162"/>
      <c r="F3" s="114">
        <f>IF(B6="","",IF($B$6&gt;=1,IF($B$6&lt;=5,"","適用範囲外"),"適用範囲外"))</f>
      </c>
      <c r="G3" s="112"/>
      <c r="H3" s="113"/>
    </row>
    <row r="4" spans="1:8" s="101" customFormat="1" ht="24" customHeight="1">
      <c r="A4" s="98" t="s">
        <v>63</v>
      </c>
      <c r="B4" s="98" t="s">
        <v>207</v>
      </c>
      <c r="C4" s="98">
        <v>5</v>
      </c>
      <c r="D4" s="98">
        <v>10</v>
      </c>
      <c r="E4" s="98">
        <v>20</v>
      </c>
      <c r="F4" s="98">
        <v>30</v>
      </c>
      <c r="G4" s="98">
        <v>40</v>
      </c>
      <c r="H4" s="98">
        <v>50</v>
      </c>
    </row>
    <row r="5" spans="1:8" s="101" customFormat="1" ht="24" customHeight="1">
      <c r="A5" s="98" t="s">
        <v>66</v>
      </c>
      <c r="B5" s="161" t="s">
        <v>206</v>
      </c>
      <c r="C5" s="162"/>
      <c r="D5" s="162"/>
      <c r="E5" s="162"/>
      <c r="F5" s="162"/>
      <c r="G5" s="162"/>
      <c r="H5" s="163"/>
    </row>
    <row r="6" spans="1:8" s="101" customFormat="1" ht="24" customHeight="1">
      <c r="A6" s="98" t="s">
        <v>68</v>
      </c>
      <c r="B6" s="5"/>
      <c r="C6" s="98" t="s">
        <v>46</v>
      </c>
      <c r="D6" s="98" t="s">
        <v>46</v>
      </c>
      <c r="E6" s="98" t="s">
        <v>46</v>
      </c>
      <c r="F6" s="98" t="s">
        <v>46</v>
      </c>
      <c r="G6" s="98" t="s">
        <v>46</v>
      </c>
      <c r="H6" s="98" t="s">
        <v>46</v>
      </c>
    </row>
    <row r="7" spans="1:8" s="101" customFormat="1" ht="24" customHeight="1">
      <c r="A7" s="98" t="s">
        <v>208</v>
      </c>
      <c r="B7" s="5"/>
      <c r="C7" s="98" t="s">
        <v>46</v>
      </c>
      <c r="D7" s="98" t="s">
        <v>46</v>
      </c>
      <c r="E7" s="98" t="s">
        <v>46</v>
      </c>
      <c r="F7" s="98" t="s">
        <v>46</v>
      </c>
      <c r="G7" s="98" t="s">
        <v>46</v>
      </c>
      <c r="H7" s="98" t="s">
        <v>46</v>
      </c>
    </row>
    <row r="8" spans="1:8" ht="24" customHeight="1">
      <c r="A8" s="98" t="s">
        <v>70</v>
      </c>
      <c r="B8" s="5"/>
      <c r="C8" s="98" t="s">
        <v>46</v>
      </c>
      <c r="D8" s="98" t="s">
        <v>46</v>
      </c>
      <c r="E8" s="98" t="s">
        <v>46</v>
      </c>
      <c r="F8" s="98" t="s">
        <v>46</v>
      </c>
      <c r="G8" s="98" t="s">
        <v>46</v>
      </c>
      <c r="H8" s="98" t="s">
        <v>46</v>
      </c>
    </row>
    <row r="9" spans="1:8" ht="24" customHeight="1">
      <c r="A9" s="103" t="s">
        <v>210</v>
      </c>
      <c r="B9" s="104" t="str">
        <f>IF(B7="","1≦X≦５",IF($B$8/$B$7&gt;=1,IF($B$8/$B$7&lt;=5,"1≦X≦５","適用範囲外"),"適用範囲外"))</f>
        <v>1≦X≦５</v>
      </c>
      <c r="C9" s="104">
        <f>IF($B$9="適用範囲外","",IF($B$7&gt;=5,IF($B$7&lt;=10,$B$8/$B$7,""),""))</f>
      </c>
      <c r="D9" s="104">
        <f>IF($B$9="適用範囲外","",IF($B$7&gt;=5,IF($B$7&lt;=20,$B$8/$B$7,""),""))</f>
      </c>
      <c r="E9" s="104">
        <f>IF($B$9="適用範囲外","",IF($B$7&gt;=10,IF($B$7&lt;=30,$B$8/$B$7,""),""))</f>
      </c>
      <c r="F9" s="104">
        <f>IF($B$9="適用範囲外","",IF($B$7&gt;=20,IF($B$7&lt;=40,$B$8/$B$7,""),""))</f>
      </c>
      <c r="G9" s="104">
        <f>IF($B$9="適用範囲外","",IF($B$7&gt;=30,IF($B$7&lt;=50,$B$8/$B$7,""),""))</f>
      </c>
      <c r="H9" s="104">
        <f>IF($B$9="適用範囲外","",IF($B$7&gt;=40,IF($B$7&lt;=5010,$B$8/$B$7,""),""))</f>
      </c>
    </row>
    <row r="10" spans="1:8" ht="38.25" customHeight="1">
      <c r="A10" s="105" t="s">
        <v>72</v>
      </c>
      <c r="B10" s="106" t="s">
        <v>209</v>
      </c>
      <c r="C10" s="107" t="s">
        <v>213</v>
      </c>
      <c r="D10" s="107" t="s">
        <v>215</v>
      </c>
      <c r="E10" s="107" t="s">
        <v>216</v>
      </c>
      <c r="F10" s="107" t="s">
        <v>219</v>
      </c>
      <c r="G10" s="107" t="s">
        <v>220</v>
      </c>
      <c r="H10" s="107" t="s">
        <v>221</v>
      </c>
    </row>
    <row r="11" spans="1:8" s="111" customFormat="1" ht="13.5">
      <c r="A11" s="108"/>
      <c r="B11" s="109" t="s">
        <v>217</v>
      </c>
      <c r="C11" s="110">
        <f>IF(C9="","",8.83*POWER(C9,-0.461))</f>
      </c>
      <c r="D11" s="110">
        <f>IF(D9="","",7.88*POWER(D9,-0.446))</f>
      </c>
      <c r="E11" s="110">
        <f>IF(E9="","",7.06*POWER(E9,-0.452))</f>
      </c>
      <c r="F11" s="110">
        <f>IF(F9="","",6.43*POWER(F9,-0.444))</f>
      </c>
      <c r="G11" s="110">
        <f>IF(G9="","",5.97*POWER(G9,-0.44))</f>
      </c>
      <c r="H11" s="110">
        <f>IF(H9="","",5.62*POWER(H9,-0.442))</f>
      </c>
    </row>
    <row r="12" spans="1:8" s="111" customFormat="1" ht="24" customHeight="1">
      <c r="A12" s="108" t="s">
        <v>214</v>
      </c>
      <c r="B12" s="109" t="s">
        <v>209</v>
      </c>
      <c r="C12" s="109">
        <v>7.03</v>
      </c>
      <c r="D12" s="109">
        <v>14</v>
      </c>
      <c r="E12" s="109">
        <v>27.06</v>
      </c>
      <c r="F12" s="109">
        <v>39.75</v>
      </c>
      <c r="G12" s="109">
        <v>52.25</v>
      </c>
      <c r="H12" s="109">
        <v>64.68</v>
      </c>
    </row>
    <row r="13" spans="1:8" s="101" customFormat="1" ht="24" customHeight="1">
      <c r="A13" s="98" t="s">
        <v>77</v>
      </c>
      <c r="B13" s="109" t="s">
        <v>209</v>
      </c>
      <c r="C13" s="98">
        <f aca="true" t="shared" si="0" ref="C13:H13">IF(C9="","",ROUNDDOWN((C11*$B$6+C12)*$B$8,3))</f>
      </c>
      <c r="D13" s="98">
        <f t="shared" si="0"/>
      </c>
      <c r="E13" s="98">
        <f t="shared" si="0"/>
      </c>
      <c r="F13" s="98">
        <f t="shared" si="0"/>
      </c>
      <c r="G13" s="98">
        <f t="shared" si="0"/>
      </c>
      <c r="H13" s="98">
        <f t="shared" si="0"/>
      </c>
    </row>
    <row r="14" spans="1:8" ht="24" customHeight="1">
      <c r="A14" s="98" t="s">
        <v>218</v>
      </c>
      <c r="B14" s="109" t="s">
        <v>209</v>
      </c>
      <c r="C14" s="98">
        <f>IF(C13="","",ROUNDDOWN((D13-C13)/(D4-C4)*($B$7-C4),3))</f>
      </c>
      <c r="D14" s="98">
        <f>IF(D13="","",ROUNDDOWN((E13-D13)/(E4-D4)*($B$7-D4),3))</f>
      </c>
      <c r="E14" s="98">
        <f>IF(E13="","",ROUNDDOWN((F13-E13)/(F4-E4)*($B$7-E4),3))</f>
      </c>
      <c r="F14" s="98">
        <f>IF(F13="","",ROUNDDOWN((G13-F13)/(G4-F4)*($B$7-F4),3))</f>
      </c>
      <c r="G14" s="98">
        <f>IF(G13="","",ROUNDDOWN((H13-G13)/(H4-G4)*($B$7-G4),3))</f>
      </c>
      <c r="H14" s="98" t="s">
        <v>209</v>
      </c>
    </row>
  </sheetData>
  <sheetProtection sheet="1" objects="1" scenarios="1"/>
  <mergeCells count="4">
    <mergeCell ref="B1:H1"/>
    <mergeCell ref="B2:H2"/>
    <mergeCell ref="B5:H5"/>
    <mergeCell ref="B3:E3"/>
  </mergeCells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1.00390625" style="101" customWidth="1"/>
    <col min="2" max="2" width="16.25390625" style="102" customWidth="1"/>
    <col min="3" max="8" width="12.625" style="102" customWidth="1"/>
    <col min="9" max="16384" width="9.00390625" style="102" customWidth="1"/>
  </cols>
  <sheetData>
    <row r="1" spans="1:8" s="101" customFormat="1" ht="24" customHeight="1">
      <c r="A1" s="98" t="s">
        <v>122</v>
      </c>
      <c r="B1" s="161" t="s">
        <v>211</v>
      </c>
      <c r="C1" s="162"/>
      <c r="D1" s="162"/>
      <c r="E1" s="162"/>
      <c r="F1" s="162"/>
      <c r="G1" s="162"/>
      <c r="H1" s="163"/>
    </row>
    <row r="2" spans="1:8" s="101" customFormat="1" ht="24" customHeight="1">
      <c r="A2" s="98" t="s">
        <v>58</v>
      </c>
      <c r="B2" s="161" t="s">
        <v>229</v>
      </c>
      <c r="C2" s="162"/>
      <c r="D2" s="162"/>
      <c r="E2" s="162"/>
      <c r="F2" s="162"/>
      <c r="G2" s="162"/>
      <c r="H2" s="163"/>
    </row>
    <row r="3" spans="1:8" s="101" customFormat="1" ht="24" customHeight="1">
      <c r="A3" s="98" t="s">
        <v>61</v>
      </c>
      <c r="B3" s="161" t="s">
        <v>230</v>
      </c>
      <c r="C3" s="162"/>
      <c r="D3" s="162"/>
      <c r="E3" s="162"/>
      <c r="F3" s="114">
        <f>IF(B6="","",IF($B$6&gt;=1,IF($B$6&lt;=5,"","適用範囲外"),"適用範囲外"))</f>
      </c>
      <c r="G3" s="112"/>
      <c r="H3" s="113"/>
    </row>
    <row r="4" spans="1:8" s="101" customFormat="1" ht="24" customHeight="1">
      <c r="A4" s="98" t="s">
        <v>63</v>
      </c>
      <c r="B4" s="98" t="s">
        <v>222</v>
      </c>
      <c r="C4" s="98">
        <v>5</v>
      </c>
      <c r="D4" s="98">
        <v>10</v>
      </c>
      <c r="E4" s="98">
        <v>20</v>
      </c>
      <c r="F4" s="98">
        <v>30</v>
      </c>
      <c r="G4" s="98">
        <v>40</v>
      </c>
      <c r="H4" s="98">
        <v>50</v>
      </c>
    </row>
    <row r="5" spans="1:8" s="101" customFormat="1" ht="24" customHeight="1">
      <c r="A5" s="98" t="s">
        <v>66</v>
      </c>
      <c r="B5" s="161" t="s">
        <v>223</v>
      </c>
      <c r="C5" s="162"/>
      <c r="D5" s="162"/>
      <c r="E5" s="162"/>
      <c r="F5" s="162"/>
      <c r="G5" s="162"/>
      <c r="H5" s="163"/>
    </row>
    <row r="6" spans="1:8" s="101" customFormat="1" ht="24" customHeight="1">
      <c r="A6" s="98" t="s">
        <v>68</v>
      </c>
      <c r="B6" s="5"/>
      <c r="C6" s="98" t="s">
        <v>46</v>
      </c>
      <c r="D6" s="98" t="s">
        <v>46</v>
      </c>
      <c r="E6" s="98" t="s">
        <v>46</v>
      </c>
      <c r="F6" s="98" t="s">
        <v>46</v>
      </c>
      <c r="G6" s="98" t="s">
        <v>46</v>
      </c>
      <c r="H6" s="98" t="s">
        <v>46</v>
      </c>
    </row>
    <row r="7" spans="1:8" s="101" customFormat="1" ht="24" customHeight="1">
      <c r="A7" s="98" t="s">
        <v>224</v>
      </c>
      <c r="B7" s="5"/>
      <c r="C7" s="98" t="s">
        <v>46</v>
      </c>
      <c r="D7" s="98" t="s">
        <v>46</v>
      </c>
      <c r="E7" s="98" t="s">
        <v>46</v>
      </c>
      <c r="F7" s="98" t="s">
        <v>46</v>
      </c>
      <c r="G7" s="98" t="s">
        <v>46</v>
      </c>
      <c r="H7" s="98" t="s">
        <v>46</v>
      </c>
    </row>
    <row r="8" spans="1:8" ht="24" customHeight="1">
      <c r="A8" s="98" t="s">
        <v>70</v>
      </c>
      <c r="B8" s="5"/>
      <c r="C8" s="98" t="s">
        <v>46</v>
      </c>
      <c r="D8" s="98" t="s">
        <v>46</v>
      </c>
      <c r="E8" s="98" t="s">
        <v>46</v>
      </c>
      <c r="F8" s="98" t="s">
        <v>46</v>
      </c>
      <c r="G8" s="98" t="s">
        <v>46</v>
      </c>
      <c r="H8" s="98" t="s">
        <v>46</v>
      </c>
    </row>
    <row r="9" spans="1:8" ht="24" customHeight="1">
      <c r="A9" s="103" t="s">
        <v>225</v>
      </c>
      <c r="B9" s="104" t="str">
        <f>IF(B7="","1≦X≦５",IF($B$8/$B$7&gt;=1,IF($B$8/$B$7&lt;=5,"1≦X≦５","適用範囲外"),"適用範囲外"))</f>
        <v>1≦X≦５</v>
      </c>
      <c r="C9" s="104">
        <f>IF($B$9="適用範囲外","",IF($B$7&gt;=5,IF($B$7&lt;=10,$B$8/$B$7,""),""))</f>
      </c>
      <c r="D9" s="104">
        <f>IF($B$9="適用範囲外","",IF($B$7&gt;=5,IF($B$7&lt;=20,$B$8/$B$7,""),""))</f>
      </c>
      <c r="E9" s="104">
        <f>IF($B$9="適用範囲外","",IF($B$7&gt;=10,IF($B$7&lt;=30,$B$8/$B$7,""),""))</f>
      </c>
      <c r="F9" s="104">
        <f>IF($B$9="適用範囲外","",IF($B$7&gt;=20,IF($B$7&lt;=40,$B$8/$B$7,""),""))</f>
      </c>
      <c r="G9" s="104">
        <f>IF($B$9="適用範囲外","",IF($B$7&gt;=30,IF($B$7&lt;=50,$B$8/$B$7,""),""))</f>
      </c>
      <c r="H9" s="104">
        <f>IF($B$9="適用範囲外","",IF($B$7&gt;=40,IF($B$7&lt;=5010,$B$8/$B$7,""),""))</f>
      </c>
    </row>
    <row r="10" spans="1:8" ht="38.25" customHeight="1">
      <c r="A10" s="105" t="s">
        <v>72</v>
      </c>
      <c r="B10" s="106" t="s">
        <v>226</v>
      </c>
      <c r="C10" s="107" t="s">
        <v>231</v>
      </c>
      <c r="D10" s="107" t="s">
        <v>232</v>
      </c>
      <c r="E10" s="107" t="s">
        <v>233</v>
      </c>
      <c r="F10" s="107" t="s">
        <v>234</v>
      </c>
      <c r="G10" s="107" t="s">
        <v>235</v>
      </c>
      <c r="H10" s="107" t="s">
        <v>236</v>
      </c>
    </row>
    <row r="11" spans="1:8" s="111" customFormat="1" ht="13.5">
      <c r="A11" s="108"/>
      <c r="B11" s="109" t="s">
        <v>226</v>
      </c>
      <c r="C11" s="110">
        <f>IF(C9="","",1.94*POWER(C9,-0.328))</f>
      </c>
      <c r="D11" s="110">
        <f>IF(D9="","",2.29*POWER(D9,-0.397))</f>
      </c>
      <c r="E11" s="110">
        <f>IF(E9="","",2.37*POWER(E9,-0.488))</f>
      </c>
      <c r="F11" s="110">
        <f>IF(F9="","",2.17*POWER(F9,-0.518))</f>
      </c>
      <c r="G11" s="110">
        <f>IF(G9="","",1.96*POWER(G9,-0.554))</f>
      </c>
      <c r="H11" s="110">
        <f>IF(H9="","",1.76*POWER(H9,-0.609))</f>
      </c>
    </row>
    <row r="12" spans="1:8" s="111" customFormat="1" ht="24" customHeight="1">
      <c r="A12" s="108" t="s">
        <v>227</v>
      </c>
      <c r="B12" s="109" t="s">
        <v>226</v>
      </c>
      <c r="C12" s="109">
        <v>7.57</v>
      </c>
      <c r="D12" s="109">
        <v>13.84</v>
      </c>
      <c r="E12" s="109">
        <v>26.36</v>
      </c>
      <c r="F12" s="109">
        <v>38.79</v>
      </c>
      <c r="G12" s="109">
        <v>51.16</v>
      </c>
      <c r="H12" s="109">
        <v>63.5</v>
      </c>
    </row>
    <row r="13" spans="1:8" s="101" customFormat="1" ht="24" customHeight="1">
      <c r="A13" s="98" t="s">
        <v>77</v>
      </c>
      <c r="B13" s="109" t="s">
        <v>226</v>
      </c>
      <c r="C13" s="98">
        <f aca="true" t="shared" si="0" ref="C13:H13">IF(C9="","",ROUNDDOWN((C11*$B$6+C12)*$B$8,3))</f>
      </c>
      <c r="D13" s="98">
        <f t="shared" si="0"/>
      </c>
      <c r="E13" s="98">
        <f t="shared" si="0"/>
      </c>
      <c r="F13" s="98">
        <f t="shared" si="0"/>
      </c>
      <c r="G13" s="98">
        <f t="shared" si="0"/>
      </c>
      <c r="H13" s="98">
        <f t="shared" si="0"/>
      </c>
    </row>
    <row r="14" spans="1:8" ht="24" customHeight="1">
      <c r="A14" s="98" t="s">
        <v>218</v>
      </c>
      <c r="B14" s="109" t="s">
        <v>228</v>
      </c>
      <c r="C14" s="98">
        <f>IF(C13="","",ROUNDDOWN((D13-C13)/(D4-C4)*($B$7-C4),3))</f>
      </c>
      <c r="D14" s="98">
        <f>IF(D13="","",ROUNDDOWN((E13-D13)/(E4-D4)*($B$7-D4),3))</f>
      </c>
      <c r="E14" s="98">
        <f>IF(E13="","",ROUNDDOWN((F13-E13)/(F4-E4)*($B$7-E4),3))</f>
      </c>
      <c r="F14" s="98">
        <f>IF(F13="","",ROUNDDOWN((G13-F13)/(G4-F4)*($B$7-F4),3))</f>
      </c>
      <c r="G14" s="98">
        <f>IF(G13="","",ROUNDDOWN((H13-G13)/(H4-G4)*($B$7-G4),3))</f>
      </c>
      <c r="H14" s="98" t="s">
        <v>228</v>
      </c>
    </row>
  </sheetData>
  <sheetProtection sheet="1" objects="1" scenarios="1"/>
  <mergeCells count="4">
    <mergeCell ref="B1:H1"/>
    <mergeCell ref="B2:H2"/>
    <mergeCell ref="B5:H5"/>
    <mergeCell ref="B3:E3"/>
  </mergeCells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6">
      <selection activeCell="D28" sqref="D28"/>
    </sheetView>
  </sheetViews>
  <sheetFormatPr defaultColWidth="9.00390625" defaultRowHeight="24" customHeight="1"/>
  <cols>
    <col min="1" max="2" width="4.625" style="1" customWidth="1"/>
    <col min="3" max="3" width="18.375" style="1" customWidth="1"/>
    <col min="4" max="4" width="12.125" style="1" customWidth="1"/>
    <col min="5" max="5" width="19.375" style="1" customWidth="1"/>
    <col min="6" max="6" width="10.75390625" style="1" customWidth="1"/>
    <col min="7" max="7" width="14.625" style="1" customWidth="1"/>
    <col min="8" max="16384" width="9.00390625" style="1" customWidth="1"/>
  </cols>
  <sheetData>
    <row r="1" ht="24" customHeight="1">
      <c r="A1" s="1" t="s">
        <v>0</v>
      </c>
    </row>
    <row r="2" spans="1:2" ht="24" customHeight="1">
      <c r="A2" s="3">
        <v>1</v>
      </c>
      <c r="B2" s="1" t="s">
        <v>1</v>
      </c>
    </row>
    <row r="3" spans="2:3" ht="24" customHeight="1">
      <c r="B3" s="1" t="s">
        <v>2</v>
      </c>
      <c r="C3"/>
    </row>
    <row r="4" ht="24" customHeight="1">
      <c r="C4" s="1" t="s">
        <v>3</v>
      </c>
    </row>
    <row r="5" ht="24" customHeight="1">
      <c r="C5" s="1" t="s">
        <v>4</v>
      </c>
    </row>
    <row r="6" spans="3:5" ht="24" customHeight="1">
      <c r="C6" s="1" t="s">
        <v>173</v>
      </c>
      <c r="D6" s="138">
        <v>57</v>
      </c>
      <c r="E6" s="1" t="s">
        <v>240</v>
      </c>
    </row>
    <row r="7" ht="24" customHeight="1">
      <c r="C7" s="1" t="s">
        <v>5</v>
      </c>
    </row>
    <row r="8" ht="24" customHeight="1">
      <c r="C8" s="1" t="s">
        <v>6</v>
      </c>
    </row>
    <row r="9" spans="3:7" ht="24" customHeight="1">
      <c r="C9" s="2" t="s">
        <v>7</v>
      </c>
      <c r="D9" s="2" t="s">
        <v>8</v>
      </c>
      <c r="E9" s="2" t="s">
        <v>7</v>
      </c>
      <c r="F9" s="93" t="s">
        <v>8</v>
      </c>
      <c r="G9" s="94" t="s">
        <v>156</v>
      </c>
    </row>
    <row r="10" spans="3:7" ht="24" customHeight="1">
      <c r="C10" s="2" t="s">
        <v>9</v>
      </c>
      <c r="D10" s="92">
        <v>0.9</v>
      </c>
      <c r="E10" s="2" t="s">
        <v>14</v>
      </c>
      <c r="F10" s="95">
        <v>1</v>
      </c>
      <c r="G10" s="94" t="s">
        <v>157</v>
      </c>
    </row>
    <row r="11" spans="3:7" ht="24" customHeight="1">
      <c r="C11" s="2" t="s">
        <v>10</v>
      </c>
      <c r="D11" s="166">
        <v>0.85</v>
      </c>
      <c r="E11" s="2" t="s">
        <v>242</v>
      </c>
      <c r="F11" s="95">
        <v>0.2</v>
      </c>
      <c r="G11" s="94" t="s">
        <v>157</v>
      </c>
    </row>
    <row r="12" spans="3:7" ht="24" customHeight="1">
      <c r="C12" s="2" t="s">
        <v>12</v>
      </c>
      <c r="D12" s="92">
        <v>0.8</v>
      </c>
      <c r="E12" s="2" t="s">
        <v>11</v>
      </c>
      <c r="F12" s="167">
        <v>0.15</v>
      </c>
      <c r="G12" s="94" t="s">
        <v>157</v>
      </c>
    </row>
    <row r="13" spans="3:7" ht="24" customHeight="1">
      <c r="C13" s="2" t="s">
        <v>241</v>
      </c>
      <c r="D13" s="92">
        <v>0.7</v>
      </c>
      <c r="E13" s="2" t="s">
        <v>13</v>
      </c>
      <c r="F13" s="95">
        <v>0.3</v>
      </c>
      <c r="G13" s="94" t="s">
        <v>157</v>
      </c>
    </row>
    <row r="14" spans="3:7" ht="24" customHeight="1">
      <c r="C14" s="96"/>
      <c r="D14" s="97"/>
      <c r="E14" s="2" t="s">
        <v>15</v>
      </c>
      <c r="F14" s="95">
        <v>0.5</v>
      </c>
      <c r="G14" s="94" t="s">
        <v>157</v>
      </c>
    </row>
    <row r="15" spans="3:7" ht="24" customHeight="1">
      <c r="C15" s="19"/>
      <c r="D15" s="144"/>
      <c r="E15" s="19"/>
      <c r="F15" s="144"/>
      <c r="G15" s="19"/>
    </row>
    <row r="18" spans="1:3" ht="24" customHeight="1">
      <c r="A18" s="3">
        <v>2</v>
      </c>
      <c r="B18" s="1" t="s">
        <v>17</v>
      </c>
      <c r="C18"/>
    </row>
    <row r="19" spans="3:7" s="3" customFormat="1" ht="24" customHeight="1">
      <c r="C19" s="2" t="s">
        <v>18</v>
      </c>
      <c r="D19" s="2" t="s">
        <v>19</v>
      </c>
      <c r="E19" s="2" t="s">
        <v>20</v>
      </c>
      <c r="F19" s="2" t="s">
        <v>21</v>
      </c>
      <c r="G19" s="2" t="s">
        <v>22</v>
      </c>
    </row>
    <row r="20" spans="3:7" ht="24" customHeight="1">
      <c r="C20" s="2" t="s">
        <v>9</v>
      </c>
      <c r="D20" s="143">
        <v>0.9</v>
      </c>
      <c r="E20" s="142"/>
      <c r="F20" s="2">
        <f>IF(E20="","",D20*E20)</f>
      </c>
      <c r="G20" s="45">
        <f>IF(E20=0,"",F20*$D$6/1000)</f>
      </c>
    </row>
    <row r="21" spans="3:7" ht="24" customHeight="1">
      <c r="C21" s="2" t="s">
        <v>10</v>
      </c>
      <c r="D21" s="143">
        <v>0.85</v>
      </c>
      <c r="E21" s="142"/>
      <c r="F21" s="2">
        <f>IF(E21="","",D21*E21)</f>
      </c>
      <c r="G21" s="45">
        <f aca="true" t="shared" si="0" ref="G21:G28">IF(E21=0,"",F21*$D$6/1000)</f>
      </c>
    </row>
    <row r="22" spans="3:7" ht="24" customHeight="1">
      <c r="C22" s="2" t="s">
        <v>12</v>
      </c>
      <c r="D22" s="143">
        <v>0.8</v>
      </c>
      <c r="E22" s="142"/>
      <c r="F22" s="2">
        <f aca="true" t="shared" si="1" ref="F22:F28">IF(E22="","",D22*E22)</f>
      </c>
      <c r="G22" s="45">
        <f t="shared" si="0"/>
      </c>
    </row>
    <row r="23" spans="3:7" ht="24" customHeight="1">
      <c r="C23" s="2" t="s">
        <v>14</v>
      </c>
      <c r="D23" s="143">
        <v>1</v>
      </c>
      <c r="E23" s="142"/>
      <c r="F23" s="2">
        <f t="shared" si="1"/>
      </c>
      <c r="G23" s="45">
        <f t="shared" si="0"/>
      </c>
    </row>
    <row r="24" spans="3:7" ht="24" customHeight="1">
      <c r="C24" s="2" t="s">
        <v>16</v>
      </c>
      <c r="D24" s="143">
        <v>0.7</v>
      </c>
      <c r="E24" s="142"/>
      <c r="F24" s="2">
        <f t="shared" si="1"/>
      </c>
      <c r="G24" s="45">
        <f t="shared" si="0"/>
      </c>
    </row>
    <row r="25" spans="3:7" ht="24" customHeight="1">
      <c r="C25" s="2" t="s">
        <v>242</v>
      </c>
      <c r="D25" s="143">
        <v>0.2</v>
      </c>
      <c r="E25" s="142"/>
      <c r="F25" s="2">
        <f t="shared" si="1"/>
      </c>
      <c r="G25" s="45">
        <f t="shared" si="0"/>
      </c>
    </row>
    <row r="26" spans="3:7" ht="24" customHeight="1">
      <c r="C26" s="2" t="s">
        <v>11</v>
      </c>
      <c r="D26" s="143">
        <v>0.15</v>
      </c>
      <c r="E26" s="142"/>
      <c r="F26" s="2">
        <f t="shared" si="1"/>
      </c>
      <c r="G26" s="45">
        <f t="shared" si="0"/>
      </c>
    </row>
    <row r="27" spans="3:7" ht="24" customHeight="1">
      <c r="C27" s="2" t="s">
        <v>13</v>
      </c>
      <c r="D27" s="143">
        <v>0.3</v>
      </c>
      <c r="E27" s="142"/>
      <c r="F27" s="2">
        <f t="shared" si="1"/>
      </c>
      <c r="G27" s="45">
        <f t="shared" si="0"/>
      </c>
    </row>
    <row r="28" spans="3:7" ht="24" customHeight="1">
      <c r="C28" s="2" t="s">
        <v>15</v>
      </c>
      <c r="D28" s="143">
        <v>0.5</v>
      </c>
      <c r="E28" s="142"/>
      <c r="F28" s="2">
        <f t="shared" si="1"/>
      </c>
      <c r="G28" s="45">
        <f t="shared" si="0"/>
      </c>
    </row>
    <row r="29" spans="3:7" ht="24" customHeight="1">
      <c r="C29" s="2" t="s">
        <v>23</v>
      </c>
      <c r="D29" s="4">
        <f>IF(E29=0,"",F29/E29)</f>
      </c>
      <c r="E29" s="2">
        <f>SUM(E20:E28)</f>
        <v>0</v>
      </c>
      <c r="F29" s="2">
        <f>SUM(F20:F28)</f>
        <v>0</v>
      </c>
      <c r="G29" s="45">
        <f>IF(E29=0,"",ROUNDUP(F29*$D$6/1000,3))</f>
      </c>
    </row>
  </sheetData>
  <sheetProtection/>
  <printOptions/>
  <pageMargins left="1.15" right="0.31" top="1.01" bottom="1" header="0.7" footer="0.512"/>
  <pageSetup horizontalDpi="600" verticalDpi="600" orientation="portrait" paperSize="9" r:id="rId1"/>
  <headerFooter alignWithMargins="0">
    <oddFooter xml:space="preserve">&amp;C浸透計算 - &amp;P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F4" sqref="F4"/>
    </sheetView>
  </sheetViews>
  <sheetFormatPr defaultColWidth="9.00390625" defaultRowHeight="18" customHeight="1"/>
  <cols>
    <col min="1" max="1" width="3.875" style="1" customWidth="1"/>
    <col min="2" max="4" width="4.625" style="1" customWidth="1"/>
    <col min="5" max="7" width="12.625" style="1" customWidth="1"/>
    <col min="8" max="8" width="9.125" style="1" customWidth="1"/>
    <col min="9" max="9" width="10.75390625" style="1" customWidth="1"/>
    <col min="10" max="10" width="13.375" style="1" customWidth="1"/>
    <col min="11" max="14" width="9.00390625" style="1" customWidth="1"/>
    <col min="15" max="15" width="11.50390625" style="1" customWidth="1"/>
    <col min="16" max="16384" width="9.00390625" style="1" customWidth="1"/>
  </cols>
  <sheetData>
    <row r="1" ht="18" customHeight="1">
      <c r="A1" s="1" t="s">
        <v>24</v>
      </c>
    </row>
    <row r="2" spans="1:10" s="20" customFormat="1" ht="18" customHeight="1">
      <c r="A2" s="19">
        <v>1</v>
      </c>
      <c r="B2" s="20" t="s">
        <v>25</v>
      </c>
      <c r="G2" s="47"/>
      <c r="H2" s="139"/>
      <c r="I2" s="140"/>
      <c r="J2" s="140"/>
    </row>
    <row r="3" spans="3:15" s="20" customFormat="1" ht="18" customHeight="1">
      <c r="C3" s="21" t="s">
        <v>26</v>
      </c>
      <c r="D3" s="21"/>
      <c r="E3" s="90"/>
      <c r="F3" s="85" t="s">
        <v>27</v>
      </c>
      <c r="G3" s="47"/>
      <c r="H3" s="139"/>
      <c r="I3" s="19"/>
      <c r="J3" s="19"/>
      <c r="K3" s="22"/>
      <c r="N3" s="22"/>
      <c r="O3" s="22"/>
    </row>
    <row r="4" spans="3:15" s="20" customFormat="1" ht="18" customHeight="1">
      <c r="C4" s="87" t="s">
        <v>28</v>
      </c>
      <c r="D4" s="88"/>
      <c r="E4" s="91"/>
      <c r="F4" s="84">
        <v>0.1</v>
      </c>
      <c r="G4" s="141"/>
      <c r="H4" s="139"/>
      <c r="I4" s="19"/>
      <c r="J4" s="19"/>
      <c r="K4" s="22"/>
      <c r="O4" s="22"/>
    </row>
    <row r="5" spans="7:15" s="20" customFormat="1" ht="18" customHeight="1">
      <c r="G5" s="141"/>
      <c r="H5" s="139"/>
      <c r="I5" s="19"/>
      <c r="J5" s="19"/>
      <c r="K5" s="22"/>
      <c r="O5" s="22"/>
    </row>
    <row r="6" spans="8:15" s="20" customFormat="1" ht="18" customHeight="1">
      <c r="H6" s="89"/>
      <c r="I6"/>
      <c r="K6" s="22"/>
      <c r="O6" s="22"/>
    </row>
    <row r="7" spans="1:15" s="20" customFormat="1" ht="18" customHeight="1">
      <c r="A7" s="19">
        <v>2</v>
      </c>
      <c r="B7" s="20" t="s">
        <v>29</v>
      </c>
      <c r="G7"/>
      <c r="H7"/>
      <c r="I7"/>
      <c r="J7"/>
      <c r="K7" s="22"/>
      <c r="O7" s="22"/>
    </row>
    <row r="8" spans="2:3" s="20" customFormat="1" ht="18" customHeight="1">
      <c r="B8" s="20">
        <v>2.1</v>
      </c>
      <c r="C8" s="20" t="s">
        <v>158</v>
      </c>
    </row>
    <row r="9" s="20" customFormat="1" ht="18" customHeight="1">
      <c r="C9" s="20" t="s">
        <v>159</v>
      </c>
    </row>
    <row r="10" spans="3:15" s="20" customFormat="1" ht="18" customHeight="1">
      <c r="C10" s="20" t="s">
        <v>198</v>
      </c>
      <c r="I10" s="22"/>
      <c r="J10" s="22"/>
      <c r="K10" s="22"/>
      <c r="O10" s="22"/>
    </row>
    <row r="11" spans="4:15" s="20" customFormat="1" ht="18" customHeight="1">
      <c r="D11" s="20" t="s">
        <v>160</v>
      </c>
      <c r="I11" s="22"/>
      <c r="J11" s="22"/>
      <c r="K11" s="22"/>
      <c r="O11" s="22"/>
    </row>
    <row r="12" spans="5:15" s="20" customFormat="1" ht="18" customHeight="1">
      <c r="E12" s="20" t="s">
        <v>161</v>
      </c>
      <c r="F12"/>
      <c r="I12" s="22"/>
      <c r="J12" s="22"/>
      <c r="K12" s="22"/>
      <c r="O12" s="22"/>
    </row>
    <row r="13" spans="5:15" s="20" customFormat="1" ht="18" customHeight="1">
      <c r="E13" s="20" t="s">
        <v>162</v>
      </c>
      <c r="F13"/>
      <c r="I13" s="22"/>
      <c r="J13" s="22"/>
      <c r="K13" s="22"/>
      <c r="O13" s="22"/>
    </row>
    <row r="14" spans="5:15" s="20" customFormat="1" ht="18" customHeight="1">
      <c r="E14" s="20" t="s">
        <v>163</v>
      </c>
      <c r="F14"/>
      <c r="I14" s="22"/>
      <c r="J14" s="22"/>
      <c r="K14" s="22"/>
      <c r="O14" s="22"/>
    </row>
    <row r="15" spans="6:15" s="20" customFormat="1" ht="18" customHeight="1">
      <c r="F15"/>
      <c r="G15" s="23"/>
      <c r="H15"/>
      <c r="I15" s="22"/>
      <c r="J15" s="22"/>
      <c r="K15" s="22"/>
      <c r="O15" s="22"/>
    </row>
    <row r="16" spans="2:15" s="20" customFormat="1" ht="18" customHeight="1">
      <c r="B16" s="20">
        <v>2.2</v>
      </c>
      <c r="C16" s="20" t="s">
        <v>164</v>
      </c>
      <c r="I16" s="22"/>
      <c r="J16" s="22"/>
      <c r="K16" s="22"/>
      <c r="O16" s="22"/>
    </row>
    <row r="17" spans="3:15" s="20" customFormat="1" ht="18" customHeight="1">
      <c r="C17" s="20" t="s">
        <v>31</v>
      </c>
      <c r="I17" s="22"/>
      <c r="J17" s="22"/>
      <c r="K17" s="22"/>
      <c r="O17" s="22"/>
    </row>
    <row r="18" spans="4:15" s="20" customFormat="1" ht="18" customHeight="1">
      <c r="D18" s="20" t="s">
        <v>32</v>
      </c>
      <c r="F18"/>
      <c r="I18" s="22"/>
      <c r="J18" s="22"/>
      <c r="K18" s="22"/>
      <c r="O18" s="22"/>
    </row>
    <row r="19" spans="5:15" s="20" customFormat="1" ht="18" customHeight="1">
      <c r="E19" s="20" t="s">
        <v>165</v>
      </c>
      <c r="F19"/>
      <c r="I19" s="22"/>
      <c r="J19" s="22"/>
      <c r="K19" s="22"/>
      <c r="O19" s="22"/>
    </row>
    <row r="20" spans="5:15" s="20" customFormat="1" ht="18" customHeight="1">
      <c r="E20" s="20" t="s">
        <v>33</v>
      </c>
      <c r="F20"/>
      <c r="I20" s="22"/>
      <c r="J20" s="22"/>
      <c r="K20" s="22"/>
      <c r="O20" s="22"/>
    </row>
    <row r="21" spans="5:15" s="20" customFormat="1" ht="18" customHeight="1">
      <c r="E21" s="20" t="s">
        <v>34</v>
      </c>
      <c r="F21"/>
      <c r="I21" s="22"/>
      <c r="J21" s="22"/>
      <c r="K21" s="22"/>
      <c r="O21" s="22"/>
    </row>
    <row r="22" spans="9:15" s="20" customFormat="1" ht="18" customHeight="1">
      <c r="I22" s="22"/>
      <c r="J22" s="22"/>
      <c r="K22" s="22"/>
      <c r="O22" s="22"/>
    </row>
    <row r="23" spans="2:15" s="20" customFormat="1" ht="18" customHeight="1">
      <c r="B23" s="20">
        <v>2.3</v>
      </c>
      <c r="C23" s="20" t="s">
        <v>166</v>
      </c>
      <c r="I23" s="22"/>
      <c r="J23" s="22"/>
      <c r="K23" s="22"/>
      <c r="O23" s="22"/>
    </row>
    <row r="24" spans="4:15" s="20" customFormat="1" ht="18" customHeight="1">
      <c r="D24" s="20" t="s">
        <v>168</v>
      </c>
      <c r="F24"/>
      <c r="I24" s="22"/>
      <c r="J24" s="22"/>
      <c r="K24" s="22"/>
      <c r="O24" s="22"/>
    </row>
    <row r="25" spans="5:15" s="20" customFormat="1" ht="18" customHeight="1">
      <c r="E25" s="20" t="s">
        <v>167</v>
      </c>
      <c r="F25"/>
      <c r="I25" s="22"/>
      <c r="J25" s="22"/>
      <c r="K25" s="22"/>
      <c r="O25" s="22"/>
    </row>
    <row r="26" spans="5:15" s="20" customFormat="1" ht="18" customHeight="1">
      <c r="E26" s="20" t="s">
        <v>161</v>
      </c>
      <c r="F26"/>
      <c r="I26" s="22"/>
      <c r="J26" s="22"/>
      <c r="K26" s="22"/>
      <c r="O26" s="22"/>
    </row>
    <row r="27" spans="5:15" s="20" customFormat="1" ht="18" customHeight="1">
      <c r="E27" s="20" t="s">
        <v>165</v>
      </c>
      <c r="F27"/>
      <c r="I27" s="22"/>
      <c r="J27" s="22"/>
      <c r="K27" s="22"/>
      <c r="O27" s="22"/>
    </row>
    <row r="28" spans="9:15" s="20" customFormat="1" ht="18" customHeight="1">
      <c r="I28" s="22"/>
      <c r="J28" s="22"/>
      <c r="K28" s="22"/>
      <c r="O28" s="22"/>
    </row>
    <row r="29" spans="1:5" ht="18" customHeight="1">
      <c r="A29" s="3">
        <v>3</v>
      </c>
      <c r="B29" s="1" t="s">
        <v>35</v>
      </c>
      <c r="E29" s="1" t="s">
        <v>200</v>
      </c>
    </row>
    <row r="30" spans="5:10" ht="18" customHeight="1">
      <c r="E30" s="24" t="s">
        <v>36</v>
      </c>
      <c r="F30" s="24" t="s">
        <v>37</v>
      </c>
      <c r="G30" s="25" t="s">
        <v>166</v>
      </c>
      <c r="H30" s="24" t="s">
        <v>38</v>
      </c>
      <c r="I30" s="24" t="s">
        <v>39</v>
      </c>
      <c r="J30" s="26" t="s">
        <v>169</v>
      </c>
    </row>
    <row r="31" spans="5:10" ht="18" customHeight="1">
      <c r="E31" s="27"/>
      <c r="F31" s="27"/>
      <c r="G31" s="28" t="s">
        <v>40</v>
      </c>
      <c r="H31" s="27"/>
      <c r="I31" s="27"/>
      <c r="J31" s="28" t="s">
        <v>41</v>
      </c>
    </row>
    <row r="32" spans="5:10" ht="18" customHeight="1">
      <c r="E32" s="2" t="s">
        <v>42</v>
      </c>
      <c r="F32" s="142"/>
      <c r="G32" s="145"/>
      <c r="H32" s="142"/>
      <c r="I32" s="2" t="s">
        <v>43</v>
      </c>
      <c r="J32" s="45">
        <f>IF(G32="","",G32*H32)</f>
      </c>
    </row>
    <row r="33" spans="5:10" ht="18" customHeight="1">
      <c r="E33" s="2" t="s">
        <v>42</v>
      </c>
      <c r="F33" s="142"/>
      <c r="G33" s="146"/>
      <c r="H33" s="142"/>
      <c r="I33" s="2" t="s">
        <v>43</v>
      </c>
      <c r="J33" s="45">
        <f>IF(G33="","",G33*H33)</f>
      </c>
    </row>
    <row r="34" spans="5:10" ht="18" customHeight="1">
      <c r="E34" s="2" t="s">
        <v>44</v>
      </c>
      <c r="F34" s="142"/>
      <c r="G34" s="145"/>
      <c r="H34" s="142"/>
      <c r="I34" s="2" t="s">
        <v>45</v>
      </c>
      <c r="J34" s="45">
        <f>IF(G34="","",G34*H34)</f>
      </c>
    </row>
    <row r="35" spans="5:10" ht="18" customHeight="1">
      <c r="E35" s="2" t="s">
        <v>182</v>
      </c>
      <c r="F35" s="142"/>
      <c r="G35" s="145"/>
      <c r="H35" s="142"/>
      <c r="I35" s="2" t="s">
        <v>237</v>
      </c>
      <c r="J35" s="45">
        <f>IF(G35="","",G35*H35)</f>
      </c>
    </row>
    <row r="36" spans="5:10" ht="18" customHeight="1">
      <c r="E36" s="2" t="s">
        <v>23</v>
      </c>
      <c r="F36" s="2" t="s">
        <v>46</v>
      </c>
      <c r="G36" s="2" t="s">
        <v>46</v>
      </c>
      <c r="H36" s="2" t="s">
        <v>46</v>
      </c>
      <c r="I36" s="2" t="s">
        <v>46</v>
      </c>
      <c r="J36" s="45">
        <f>SUM(J32:J35)</f>
        <v>0</v>
      </c>
    </row>
    <row r="38" spans="1:2" ht="18" customHeight="1">
      <c r="A38" s="3">
        <v>4</v>
      </c>
      <c r="B38" s="1" t="s">
        <v>47</v>
      </c>
    </row>
    <row r="39" spans="5:7" ht="18" customHeight="1">
      <c r="E39" s="24" t="s">
        <v>48</v>
      </c>
      <c r="F39" s="24" t="s">
        <v>49</v>
      </c>
      <c r="G39" s="24" t="s">
        <v>47</v>
      </c>
    </row>
    <row r="40" spans="5:7" ht="18" customHeight="1">
      <c r="E40" s="28" t="s">
        <v>50</v>
      </c>
      <c r="F40" s="28" t="s">
        <v>50</v>
      </c>
      <c r="G40" s="28"/>
    </row>
    <row r="41" spans="5:7" ht="18" customHeight="1">
      <c r="E41" s="4" t="e">
        <f>ROUNDUP('流出量計算'!G29,2)</f>
        <v>#VALUE!</v>
      </c>
      <c r="F41" s="4">
        <f>ROUNDDOWN(J36,2)</f>
        <v>0</v>
      </c>
      <c r="G41" s="2" t="e">
        <f>IF(F41-E41&gt;=0,"満足する","不足です")</f>
        <v>#VALUE!</v>
      </c>
    </row>
  </sheetData>
  <sheetProtection sheet="1"/>
  <printOptions/>
  <pageMargins left="1" right="0.42" top="1.15" bottom="0.69" header="0.66" footer="0.33"/>
  <pageSetup horizontalDpi="600" verticalDpi="600" orientation="portrait" paperSize="9" r:id="rId1"/>
  <headerFooter alignWithMargins="0">
    <oddFooter>&amp;C浸透計算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L4" sqref="L4"/>
    </sheetView>
  </sheetViews>
  <sheetFormatPr defaultColWidth="9.00390625" defaultRowHeight="18" customHeight="1"/>
  <cols>
    <col min="1" max="2" width="4.625" style="1" customWidth="1"/>
    <col min="3" max="3" width="8.87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6384" width="9.00390625" style="1" customWidth="1"/>
  </cols>
  <sheetData>
    <row r="1" ht="18" customHeight="1">
      <c r="A1" s="1" t="s">
        <v>51</v>
      </c>
    </row>
    <row r="2" spans="1:2" ht="18" customHeight="1">
      <c r="A2" s="3">
        <v>1</v>
      </c>
      <c r="B2" s="1" t="s">
        <v>52</v>
      </c>
    </row>
    <row r="3" spans="1:12" ht="18" customHeight="1">
      <c r="A3" s="3"/>
      <c r="C3" s="19"/>
      <c r="D3" s="47"/>
      <c r="E3" s="47"/>
      <c r="L3" s="1" t="s">
        <v>53</v>
      </c>
    </row>
    <row r="4" spans="3:13" ht="18" customHeight="1">
      <c r="C4" s="19"/>
      <c r="D4" s="47"/>
      <c r="E4" s="47"/>
      <c r="I4"/>
      <c r="K4" s="1" t="s">
        <v>54</v>
      </c>
      <c r="L4" s="147"/>
      <c r="M4" s="3"/>
    </row>
    <row r="5" spans="3:14" s="3" customFormat="1" ht="18" customHeight="1">
      <c r="C5" s="2" t="s">
        <v>55</v>
      </c>
      <c r="D5" s="21" t="s">
        <v>56</v>
      </c>
      <c r="E5" s="21"/>
      <c r="I5" s="19"/>
      <c r="J5" s="23" t="s">
        <v>57</v>
      </c>
      <c r="K5"/>
      <c r="L5" s="148"/>
      <c r="M5" s="19"/>
      <c r="N5" s="19"/>
    </row>
    <row r="6" spans="3:14" s="3" customFormat="1" ht="18" customHeight="1">
      <c r="C6" s="2" t="s">
        <v>58</v>
      </c>
      <c r="D6" s="21" t="s">
        <v>59</v>
      </c>
      <c r="E6" s="16"/>
      <c r="I6" s="19"/>
      <c r="J6" s="23" t="s">
        <v>60</v>
      </c>
      <c r="K6"/>
      <c r="L6" s="148"/>
      <c r="M6" s="19"/>
      <c r="N6" s="19"/>
    </row>
    <row r="7" spans="3:14" s="3" customFormat="1" ht="18" customHeight="1">
      <c r="C7" s="2" t="s">
        <v>61</v>
      </c>
      <c r="D7" s="21" t="s">
        <v>62</v>
      </c>
      <c r="E7" s="16"/>
      <c r="I7" s="19"/>
      <c r="J7" s="19"/>
      <c r="K7" s="19"/>
      <c r="L7" s="19"/>
      <c r="M7" s="19"/>
      <c r="N7" s="19"/>
    </row>
    <row r="8" spans="3:14" s="3" customFormat="1" ht="18" customHeight="1">
      <c r="C8" s="2" t="s">
        <v>63</v>
      </c>
      <c r="D8" s="21" t="s">
        <v>64</v>
      </c>
      <c r="E8" s="16"/>
      <c r="G8" s="18" t="s">
        <v>65</v>
      </c>
      <c r="I8" s="32"/>
      <c r="J8" s="77"/>
      <c r="K8" s="77"/>
      <c r="L8" s="77"/>
      <c r="M8" s="77"/>
      <c r="N8" s="34"/>
    </row>
    <row r="9" spans="3:14" s="3" customFormat="1" ht="18" customHeight="1">
      <c r="C9" s="2" t="s">
        <v>66</v>
      </c>
      <c r="D9" s="21" t="s">
        <v>67</v>
      </c>
      <c r="E9" s="16"/>
      <c r="I9" s="33"/>
      <c r="J9" s="78"/>
      <c r="K9" s="78"/>
      <c r="L9" s="78"/>
      <c r="M9" s="78"/>
      <c r="N9" s="35"/>
    </row>
    <row r="10" spans="3:14" s="3" customFormat="1" ht="18" customHeight="1">
      <c r="C10" s="2" t="s">
        <v>68</v>
      </c>
      <c r="D10" s="51">
        <f>IF(P14="","",P14/1000)</f>
      </c>
      <c r="E10" s="60"/>
      <c r="I10" s="42"/>
      <c r="J10" s="42"/>
      <c r="K10" s="42"/>
      <c r="L10" s="42"/>
      <c r="M10" s="42"/>
      <c r="N10" s="42"/>
    </row>
    <row r="11" spans="3:14" s="3" customFormat="1" ht="18" customHeight="1">
      <c r="C11" s="2" t="s">
        <v>69</v>
      </c>
      <c r="D11" s="51">
        <f>IF(L4="","",L4/1000)</f>
      </c>
      <c r="E11" s="60"/>
      <c r="I11" s="42"/>
      <c r="J11" s="42"/>
      <c r="K11" s="42"/>
      <c r="L11" s="42"/>
      <c r="M11" s="42"/>
      <c r="N11" s="42"/>
    </row>
    <row r="12" spans="3:16" ht="18" customHeight="1">
      <c r="C12" s="2" t="s">
        <v>70</v>
      </c>
      <c r="D12" s="21" t="s">
        <v>46</v>
      </c>
      <c r="E12" s="16"/>
      <c r="G12" s="1" t="s">
        <v>71</v>
      </c>
      <c r="I12" s="119"/>
      <c r="J12" s="42"/>
      <c r="K12" s="42"/>
      <c r="L12" s="42"/>
      <c r="M12" s="42"/>
      <c r="N12" s="119"/>
      <c r="O12" s="3"/>
      <c r="P12" s="3"/>
    </row>
    <row r="13" spans="3:14" ht="18" customHeight="1">
      <c r="C13" s="79" t="s">
        <v>72</v>
      </c>
      <c r="D13" s="48">
        <v>3.093</v>
      </c>
      <c r="E13" s="10"/>
      <c r="I13" s="119"/>
      <c r="J13" s="42"/>
      <c r="K13" s="42"/>
      <c r="L13" s="42"/>
      <c r="M13" s="42"/>
      <c r="N13" s="119"/>
    </row>
    <row r="14" spans="3:16" s="12" customFormat="1" ht="18" customHeight="1">
      <c r="C14" s="6" t="s">
        <v>73</v>
      </c>
      <c r="D14" s="49" t="s">
        <v>74</v>
      </c>
      <c r="E14" s="10"/>
      <c r="G14" s="18" t="s">
        <v>75</v>
      </c>
      <c r="H14" s="3"/>
      <c r="I14" s="41"/>
      <c r="J14" s="42"/>
      <c r="K14" s="42"/>
      <c r="L14" s="42"/>
      <c r="M14" s="42"/>
      <c r="N14" s="41"/>
      <c r="O14" s="43" t="s">
        <v>76</v>
      </c>
      <c r="P14" s="149"/>
    </row>
    <row r="15" spans="3:16" s="13" customFormat="1" ht="18" customHeight="1">
      <c r="C15" s="10"/>
      <c r="D15" s="48">
        <f>IF(D11="","",1.34*D11+0.677)</f>
      </c>
      <c r="E15" s="82"/>
      <c r="G15" s="1"/>
      <c r="H15" s="1"/>
      <c r="I15" s="120"/>
      <c r="J15" s="42"/>
      <c r="K15" s="42"/>
      <c r="L15" s="42"/>
      <c r="M15" s="42"/>
      <c r="N15" s="120"/>
      <c r="O15" s="43"/>
      <c r="P15" s="36"/>
    </row>
    <row r="16" spans="3:16" s="12" customFormat="1" ht="18" customHeight="1">
      <c r="C16" s="2" t="s">
        <v>77</v>
      </c>
      <c r="D16" s="21" t="str">
        <f>IF(D10="","K=aH+b",ROUNDDOWN(D13*D10+D15,3))</f>
        <v>K=aH+b</v>
      </c>
      <c r="E16" s="59"/>
      <c r="G16" s="3"/>
      <c r="H16" s="3"/>
      <c r="I16" s="41"/>
      <c r="J16" s="42"/>
      <c r="K16" s="42"/>
      <c r="L16" s="42"/>
      <c r="M16" s="42"/>
      <c r="N16" s="41"/>
      <c r="O16" s="43"/>
      <c r="P16" s="36"/>
    </row>
    <row r="17" spans="3:17" s="12" customFormat="1" ht="18" customHeight="1">
      <c r="C17" s="19"/>
      <c r="D17" s="47"/>
      <c r="E17" s="50"/>
      <c r="G17" s="1" t="s">
        <v>78</v>
      </c>
      <c r="H17" s="1"/>
      <c r="I17" s="41"/>
      <c r="J17" s="41"/>
      <c r="K17" s="41"/>
      <c r="L17" s="41"/>
      <c r="M17" s="41"/>
      <c r="N17" s="41"/>
      <c r="O17" s="43"/>
      <c r="P17" s="36"/>
      <c r="Q17" s="36"/>
    </row>
    <row r="18" spans="3:14" s="3" customFormat="1" ht="18" customHeight="1">
      <c r="C18" s="23" t="s">
        <v>79</v>
      </c>
      <c r="D18" s="47"/>
      <c r="E18" s="50"/>
      <c r="G18" s="18" t="s">
        <v>80</v>
      </c>
      <c r="I18" s="42"/>
      <c r="J18" s="42"/>
      <c r="K18" s="42"/>
      <c r="L18" s="42"/>
      <c r="M18" s="42"/>
      <c r="N18" s="42"/>
    </row>
    <row r="19" spans="3:15" s="3" customFormat="1" ht="18" customHeight="1">
      <c r="C19" s="19"/>
      <c r="D19" s="47"/>
      <c r="E19" s="50"/>
      <c r="I19" s="115"/>
      <c r="J19" s="116"/>
      <c r="K19" s="117"/>
      <c r="L19" s="117" t="s">
        <v>81</v>
      </c>
      <c r="M19" s="116"/>
      <c r="N19" s="118"/>
      <c r="O19" s="3">
        <v>50</v>
      </c>
    </row>
    <row r="20" ht="18" customHeight="1">
      <c r="L20" s="1" t="s">
        <v>82</v>
      </c>
    </row>
    <row r="21" spans="1:9" ht="18" customHeight="1">
      <c r="A21" s="3">
        <v>2</v>
      </c>
      <c r="B21" s="20" t="s">
        <v>158</v>
      </c>
      <c r="C21" s="20"/>
      <c r="D21" s="20"/>
      <c r="E21" s="20"/>
      <c r="F21" s="20"/>
      <c r="I21" s="1" t="s">
        <v>238</v>
      </c>
    </row>
    <row r="22" spans="2:6" ht="18" customHeight="1">
      <c r="B22" s="20"/>
      <c r="C22" s="20" t="s">
        <v>170</v>
      </c>
      <c r="D22" s="20"/>
      <c r="E22" s="20"/>
      <c r="F22" s="20"/>
    </row>
    <row r="23" spans="2:6" ht="18" customHeight="1">
      <c r="B23" s="20"/>
      <c r="C23" s="20"/>
      <c r="D23" s="20" t="s">
        <v>161</v>
      </c>
      <c r="E23" s="20"/>
      <c r="F23"/>
    </row>
    <row r="24" spans="2:11" ht="18" customHeight="1">
      <c r="B24" s="20"/>
      <c r="C24" s="20"/>
      <c r="D24" s="20" t="s">
        <v>30</v>
      </c>
      <c r="E24" s="20"/>
      <c r="F24"/>
      <c r="I24" s="3" t="s">
        <v>83</v>
      </c>
      <c r="J24" s="3"/>
      <c r="K24" s="44" t="str">
        <f>IF(D16="","",D16)</f>
        <v>K=aH+b</v>
      </c>
    </row>
    <row r="25" spans="2:11" ht="18" customHeight="1">
      <c r="B25" s="20"/>
      <c r="C25" s="20"/>
      <c r="D25" s="20" t="s">
        <v>163</v>
      </c>
      <c r="E25" s="20"/>
      <c r="F25"/>
      <c r="I25" s="3" t="s">
        <v>83</v>
      </c>
      <c r="K25" s="44">
        <f>'浸透施設設計'!F4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172</v>
      </c>
      <c r="D27" s="46" t="e">
        <f>IF(K24="","",ROUNDDOWN(K24*K25,3))</f>
        <v>#VALUE!</v>
      </c>
      <c r="E27" s="1" t="s">
        <v>84</v>
      </c>
      <c r="F27"/>
    </row>
    <row r="29" spans="1:6" ht="18" customHeight="1">
      <c r="A29" s="3">
        <v>3</v>
      </c>
      <c r="B29" s="20" t="s">
        <v>164</v>
      </c>
      <c r="C29" s="20"/>
      <c r="D29" s="20"/>
      <c r="E29" s="20"/>
      <c r="F29" s="20"/>
    </row>
    <row r="30" spans="2:6" ht="18" customHeight="1">
      <c r="B30" s="20"/>
      <c r="C30" s="20" t="s">
        <v>85</v>
      </c>
      <c r="D30" s="20"/>
      <c r="E30" s="20"/>
      <c r="F30"/>
    </row>
    <row r="31" spans="2:6" ht="18" customHeight="1">
      <c r="B31" s="20"/>
      <c r="C31" s="20"/>
      <c r="D31" s="20" t="s">
        <v>165</v>
      </c>
      <c r="E31" s="20"/>
      <c r="F31"/>
    </row>
    <row r="32" spans="2:8" ht="18" customHeight="1">
      <c r="B32" s="20"/>
      <c r="C32" s="20"/>
      <c r="D32" s="20" t="s">
        <v>34</v>
      </c>
      <c r="E32" s="20"/>
      <c r="F32" s="3" t="s">
        <v>83</v>
      </c>
      <c r="G32" s="83">
        <v>40</v>
      </c>
      <c r="H32" s="83" t="s">
        <v>243</v>
      </c>
    </row>
    <row r="33" spans="3:15" s="13" customFormat="1" ht="27" customHeight="1">
      <c r="C33" s="61" t="s">
        <v>86</v>
      </c>
      <c r="D33" s="61" t="s">
        <v>87</v>
      </c>
      <c r="E33" s="63" t="s">
        <v>88</v>
      </c>
      <c r="F33" s="64" t="s">
        <v>89</v>
      </c>
      <c r="G33" s="62"/>
      <c r="H33" s="64" t="s">
        <v>90</v>
      </c>
      <c r="I33" s="62"/>
      <c r="J33" s="66" t="s">
        <v>91</v>
      </c>
      <c r="K33" s="66"/>
      <c r="L33" s="65" t="s">
        <v>92</v>
      </c>
      <c r="M33" s="80" t="s">
        <v>93</v>
      </c>
      <c r="N33" s="62"/>
      <c r="O33" s="81"/>
    </row>
    <row r="34" spans="3:15" s="3" customFormat="1" ht="18" customHeight="1">
      <c r="C34" s="31">
        <f>IF(L4="","",L4/1000)</f>
      </c>
      <c r="D34" s="31">
        <f>IF(P14="","",P14/1000)</f>
      </c>
      <c r="E34" s="31">
        <f>IF(L5="","",L5/1000)</f>
      </c>
      <c r="F34" s="53">
        <f>IF(L6="","",L6/1000)</f>
      </c>
      <c r="G34" s="68"/>
      <c r="H34" s="53">
        <f>IF(C34="","",C34*D34)</f>
      </c>
      <c r="I34" s="68"/>
      <c r="J34" s="70">
        <f>IF(E34="","",E34^2*PI()/4)</f>
      </c>
      <c r="K34" s="70"/>
      <c r="L34" s="69">
        <f>IF(F34="","",F34^2*PI()/4)</f>
      </c>
      <c r="M34" s="59">
        <f>IF(C34="","",ROUNDDOWN((H34-J34)*G32/100+L34,3))</f>
      </c>
      <c r="N34" s="68"/>
      <c r="O34" s="60"/>
    </row>
    <row r="36" spans="1:4" ht="18" customHeight="1">
      <c r="A36" s="3">
        <v>4</v>
      </c>
      <c r="B36" s="20" t="s">
        <v>166</v>
      </c>
      <c r="C36" s="20"/>
      <c r="D36" s="20"/>
    </row>
    <row r="37" spans="2:4" ht="18" customHeight="1">
      <c r="B37" s="20"/>
      <c r="C37" s="20" t="s">
        <v>171</v>
      </c>
      <c r="D37" s="20"/>
    </row>
    <row r="38" spans="2:7" ht="18" customHeight="1">
      <c r="B38" s="20"/>
      <c r="C38" s="72" t="s">
        <v>83</v>
      </c>
      <c r="D38" s="73">
        <f>IF(C34="","",D27)</f>
      </c>
      <c r="E38" s="3" t="s">
        <v>94</v>
      </c>
      <c r="F38" s="74">
        <f>IF(C34="","",M34)</f>
      </c>
      <c r="G38" s="74"/>
    </row>
    <row r="39" spans="2:5" ht="18" customHeight="1">
      <c r="B39" s="20"/>
      <c r="C39" s="72" t="s">
        <v>83</v>
      </c>
      <c r="D39" s="73">
        <f>IF(C34="","",D38+F38)</f>
      </c>
      <c r="E39" s="1" t="s">
        <v>95</v>
      </c>
    </row>
    <row r="40" spans="2:4" ht="18" customHeight="1">
      <c r="B40" s="20"/>
      <c r="C40" s="20"/>
      <c r="D40" s="20"/>
    </row>
  </sheetData>
  <sheetProtection sheet="1"/>
  <printOptions/>
  <pageMargins left="0.55" right="0.37" top="1.38" bottom="0.69" header="1.02" footer="0.33"/>
  <pageSetup horizontalDpi="600" verticalDpi="600" orientation="portrait" paperSize="9" r:id="rId2"/>
  <headerFooter alignWithMargins="0">
    <oddFooter>&amp;C浸透計算 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U31" sqref="U31"/>
    </sheetView>
  </sheetViews>
  <sheetFormatPr defaultColWidth="9.00390625" defaultRowHeight="18" customHeight="1"/>
  <cols>
    <col min="1" max="2" width="4.625" style="1" customWidth="1"/>
    <col min="3" max="3" width="8.87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4" width="4.625" style="1" customWidth="1"/>
    <col min="15" max="15" width="5.125" style="1" customWidth="1"/>
    <col min="16" max="16" width="8.375" style="1" customWidth="1"/>
    <col min="17" max="17" width="4.625" style="1" customWidth="1"/>
    <col min="18" max="16384" width="9.00390625" style="1" customWidth="1"/>
  </cols>
  <sheetData>
    <row r="1" ht="18" customHeight="1">
      <c r="A1" s="1" t="s">
        <v>197</v>
      </c>
    </row>
    <row r="2" spans="1:2" ht="18" customHeight="1">
      <c r="A2" s="3">
        <v>1</v>
      </c>
      <c r="B2" s="1" t="s">
        <v>52</v>
      </c>
    </row>
    <row r="3" spans="1:12" ht="18" customHeight="1">
      <c r="A3" s="3"/>
      <c r="C3" s="19"/>
      <c r="D3" s="47"/>
      <c r="E3" s="47"/>
      <c r="L3" s="1" t="s">
        <v>53</v>
      </c>
    </row>
    <row r="4" spans="3:13" ht="18" customHeight="1">
      <c r="C4" s="19"/>
      <c r="D4" s="47"/>
      <c r="E4" s="47"/>
      <c r="I4"/>
      <c r="K4" s="1" t="s">
        <v>54</v>
      </c>
      <c r="L4" s="147"/>
      <c r="M4" s="3"/>
    </row>
    <row r="5" spans="3:14" s="3" customFormat="1" ht="18" customHeight="1">
      <c r="C5" s="2" t="s">
        <v>55</v>
      </c>
      <c r="D5" s="21" t="s">
        <v>182</v>
      </c>
      <c r="E5" s="21"/>
      <c r="I5" s="19"/>
      <c r="J5" s="23" t="s">
        <v>183</v>
      </c>
      <c r="K5"/>
      <c r="L5" s="148"/>
      <c r="M5" s="19"/>
      <c r="N5" s="19"/>
    </row>
    <row r="6" spans="3:14" s="3" customFormat="1" ht="18" customHeight="1">
      <c r="C6" s="2" t="s">
        <v>58</v>
      </c>
      <c r="D6" s="21" t="s">
        <v>59</v>
      </c>
      <c r="E6" s="16"/>
      <c r="I6" s="19"/>
      <c r="J6" s="23" t="s">
        <v>184</v>
      </c>
      <c r="K6"/>
      <c r="L6" s="148"/>
      <c r="M6" s="19"/>
      <c r="N6" s="19"/>
    </row>
    <row r="7" spans="3:14" s="3" customFormat="1" ht="18" customHeight="1">
      <c r="C7" s="2" t="s">
        <v>61</v>
      </c>
      <c r="D7" s="21" t="s">
        <v>62</v>
      </c>
      <c r="E7" s="16"/>
      <c r="I7" s="19"/>
      <c r="J7" s="19"/>
      <c r="K7" s="19"/>
      <c r="L7" s="19"/>
      <c r="M7" s="19"/>
      <c r="N7" s="19"/>
    </row>
    <row r="8" spans="3:14" s="3" customFormat="1" ht="18" customHeight="1">
      <c r="C8" s="2" t="s">
        <v>63</v>
      </c>
      <c r="D8" s="21" t="s">
        <v>64</v>
      </c>
      <c r="E8" s="16"/>
      <c r="G8" s="18" t="s">
        <v>65</v>
      </c>
      <c r="I8" s="32"/>
      <c r="J8" s="121"/>
      <c r="K8" s="122"/>
      <c r="L8" s="122"/>
      <c r="M8" s="123"/>
      <c r="N8" s="34"/>
    </row>
    <row r="9" spans="3:14" s="3" customFormat="1" ht="18" customHeight="1">
      <c r="C9" s="2" t="s">
        <v>66</v>
      </c>
      <c r="D9" s="21" t="s">
        <v>67</v>
      </c>
      <c r="E9" s="16"/>
      <c r="I9" s="33"/>
      <c r="J9" s="124"/>
      <c r="K9" s="37"/>
      <c r="L9" s="37"/>
      <c r="M9" s="124"/>
      <c r="N9" s="35"/>
    </row>
    <row r="10" spans="3:14" s="3" customFormat="1" ht="18" customHeight="1">
      <c r="C10" s="2" t="s">
        <v>68</v>
      </c>
      <c r="D10" s="51">
        <f>IF(P18="","",P18/1000)</f>
      </c>
      <c r="E10" s="60"/>
      <c r="I10" s="42"/>
      <c r="J10" s="125"/>
      <c r="K10" s="37"/>
      <c r="L10" s="37"/>
      <c r="M10" s="125"/>
      <c r="N10" s="42"/>
    </row>
    <row r="11" spans="3:14" s="3" customFormat="1" ht="18" customHeight="1">
      <c r="C11" s="2" t="s">
        <v>69</v>
      </c>
      <c r="D11" s="51">
        <f>IF(L4="","",L4/1000)</f>
      </c>
      <c r="E11" s="60"/>
      <c r="I11" s="42"/>
      <c r="J11" s="125"/>
      <c r="K11" s="37"/>
      <c r="L11" s="37"/>
      <c r="M11" s="125"/>
      <c r="N11" s="42"/>
    </row>
    <row r="12" spans="3:16" ht="18" customHeight="1">
      <c r="C12" s="2" t="s">
        <v>70</v>
      </c>
      <c r="D12" s="21" t="s">
        <v>46</v>
      </c>
      <c r="E12" s="16"/>
      <c r="G12" s="1" t="s">
        <v>71</v>
      </c>
      <c r="I12" s="119"/>
      <c r="J12" s="125"/>
      <c r="K12" s="37"/>
      <c r="L12" s="37"/>
      <c r="M12" s="125"/>
      <c r="N12" s="119"/>
      <c r="O12" s="43" t="s">
        <v>185</v>
      </c>
      <c r="P12" s="3"/>
    </row>
    <row r="13" spans="3:16" ht="18" customHeight="1">
      <c r="C13" s="79" t="s">
        <v>72</v>
      </c>
      <c r="D13" s="48">
        <v>3.093</v>
      </c>
      <c r="E13" s="10"/>
      <c r="I13" s="119"/>
      <c r="J13" s="125"/>
      <c r="K13" s="37"/>
      <c r="L13" s="37"/>
      <c r="M13" s="125"/>
      <c r="N13" s="119"/>
      <c r="O13" s="164"/>
      <c r="P13" s="99"/>
    </row>
    <row r="14" spans="3:16" s="12" customFormat="1" ht="18" customHeight="1">
      <c r="C14" s="6" t="s">
        <v>73</v>
      </c>
      <c r="D14" s="49" t="s">
        <v>74</v>
      </c>
      <c r="E14" s="10"/>
      <c r="G14" s="18" t="s">
        <v>186</v>
      </c>
      <c r="H14" s="3"/>
      <c r="I14" s="41"/>
      <c r="J14" s="125"/>
      <c r="K14" s="37"/>
      <c r="L14" s="37"/>
      <c r="M14" s="125"/>
      <c r="N14" s="41"/>
      <c r="O14" s="43"/>
      <c r="P14" s="99"/>
    </row>
    <row r="15" spans="3:16" s="13" customFormat="1" ht="18" customHeight="1">
      <c r="C15" s="10"/>
      <c r="D15" s="48">
        <f>IF(D11="","",1.34*D11+0.677)</f>
      </c>
      <c r="E15" s="82"/>
      <c r="G15" s="1"/>
      <c r="H15" s="1"/>
      <c r="I15" s="120"/>
      <c r="J15" s="125"/>
      <c r="K15" s="126"/>
      <c r="L15" s="128"/>
      <c r="M15" s="37"/>
      <c r="N15" s="129"/>
      <c r="O15" s="43"/>
      <c r="P15" s="36"/>
    </row>
    <row r="16" spans="3:16" s="12" customFormat="1" ht="18" customHeight="1">
      <c r="C16" s="2" t="s">
        <v>77</v>
      </c>
      <c r="D16" s="21" t="str">
        <f>IF(D10="","K=aH+b",ROUNDDOWN(D13*D10+D15,3))</f>
        <v>K=aH+b</v>
      </c>
      <c r="E16" s="59"/>
      <c r="G16" s="3"/>
      <c r="H16" s="3"/>
      <c r="I16" s="41"/>
      <c r="J16" s="126"/>
      <c r="K16" s="127"/>
      <c r="L16" s="127"/>
      <c r="M16" s="128"/>
      <c r="N16" s="41"/>
      <c r="O16" s="43" t="s">
        <v>187</v>
      </c>
      <c r="P16" s="149"/>
    </row>
    <row r="17" spans="3:17" s="12" customFormat="1" ht="18" customHeight="1">
      <c r="C17" s="19"/>
      <c r="D17" s="47"/>
      <c r="E17" s="50"/>
      <c r="G17" s="1" t="s">
        <v>78</v>
      </c>
      <c r="H17" s="1"/>
      <c r="I17" s="41"/>
      <c r="J17" s="41"/>
      <c r="K17" s="41"/>
      <c r="L17" s="41"/>
      <c r="M17" s="41"/>
      <c r="N17" s="41"/>
      <c r="O17" s="43"/>
      <c r="P17" s="36"/>
      <c r="Q17" s="36"/>
    </row>
    <row r="18" spans="3:16" s="3" customFormat="1" ht="18" customHeight="1">
      <c r="C18" s="23" t="s">
        <v>79</v>
      </c>
      <c r="D18" s="47"/>
      <c r="E18" s="50"/>
      <c r="G18" s="18" t="s">
        <v>80</v>
      </c>
      <c r="I18" s="42"/>
      <c r="J18" s="42"/>
      <c r="K18" s="42"/>
      <c r="L18" s="42"/>
      <c r="M18" s="42"/>
      <c r="N18" s="42"/>
      <c r="O18" s="43" t="s">
        <v>76</v>
      </c>
      <c r="P18" s="165"/>
    </row>
    <row r="19" spans="3:15" s="3" customFormat="1" ht="18" customHeight="1">
      <c r="C19" s="19"/>
      <c r="D19" s="47"/>
      <c r="E19" s="50"/>
      <c r="I19" s="115"/>
      <c r="J19" s="116"/>
      <c r="K19" s="117"/>
      <c r="L19" s="117" t="s">
        <v>81</v>
      </c>
      <c r="M19" s="116"/>
      <c r="N19" s="118"/>
      <c r="O19" s="3">
        <v>50</v>
      </c>
    </row>
    <row r="20" ht="18" customHeight="1">
      <c r="L20" s="1" t="s">
        <v>82</v>
      </c>
    </row>
    <row r="21" spans="1:9" ht="18" customHeight="1">
      <c r="A21" s="3">
        <v>2</v>
      </c>
      <c r="B21" s="20" t="s">
        <v>158</v>
      </c>
      <c r="C21" s="20"/>
      <c r="D21" s="20"/>
      <c r="E21" s="20"/>
      <c r="F21" s="20"/>
      <c r="I21" s="1" t="s">
        <v>238</v>
      </c>
    </row>
    <row r="22" spans="2:6" ht="18" customHeight="1">
      <c r="B22" s="20"/>
      <c r="C22" s="20" t="s">
        <v>179</v>
      </c>
      <c r="D22" s="20"/>
      <c r="E22" s="20"/>
      <c r="F22" s="20"/>
    </row>
    <row r="23" spans="2:6" ht="18" customHeight="1">
      <c r="B23" s="20"/>
      <c r="C23" s="20"/>
      <c r="D23" s="20" t="s">
        <v>161</v>
      </c>
      <c r="E23" s="20"/>
      <c r="F23"/>
    </row>
    <row r="24" spans="2:15" ht="18" customHeight="1">
      <c r="B24" s="20"/>
      <c r="C24" s="20"/>
      <c r="D24" s="20" t="s">
        <v>30</v>
      </c>
      <c r="E24" s="20"/>
      <c r="F24"/>
      <c r="I24" s="3" t="s">
        <v>83</v>
      </c>
      <c r="J24" s="3"/>
      <c r="K24" s="44" t="str">
        <f>IF(D16="","",D16)</f>
        <v>K=aH+b</v>
      </c>
      <c r="L24" s="44" t="s">
        <v>188</v>
      </c>
      <c r="M24" s="155" t="e">
        <f>D13*D34+D15</f>
        <v>#VALUE!</v>
      </c>
      <c r="N24" s="155"/>
      <c r="O24" s="155"/>
    </row>
    <row r="25" spans="2:11" ht="18" customHeight="1">
      <c r="B25" s="20"/>
      <c r="C25" s="20"/>
      <c r="D25" s="20" t="s">
        <v>180</v>
      </c>
      <c r="E25" s="20"/>
      <c r="F25"/>
      <c r="I25" s="3" t="s">
        <v>83</v>
      </c>
      <c r="K25" s="44">
        <f>'浸透施設設計'!F4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189</v>
      </c>
      <c r="D27" s="46" t="e">
        <f>IF(K24="","",ROUNDDOWN(M24*K25,3))</f>
        <v>#VALUE!</v>
      </c>
      <c r="E27" s="1" t="s">
        <v>84</v>
      </c>
      <c r="F27"/>
    </row>
    <row r="29" spans="1:6" ht="18" customHeight="1">
      <c r="A29" s="3">
        <v>3</v>
      </c>
      <c r="B29" s="20" t="s">
        <v>164</v>
      </c>
      <c r="C29" s="20"/>
      <c r="D29" s="20"/>
      <c r="E29" s="20"/>
      <c r="F29" s="20"/>
    </row>
    <row r="30" spans="2:6" ht="18" customHeight="1">
      <c r="B30" s="20"/>
      <c r="C30" s="20" t="s">
        <v>190</v>
      </c>
      <c r="D30" s="20"/>
      <c r="E30" s="20"/>
      <c r="F30"/>
    </row>
    <row r="31" spans="2:6" ht="18" customHeight="1">
      <c r="B31" s="20"/>
      <c r="C31" s="20"/>
      <c r="D31" s="20" t="s">
        <v>165</v>
      </c>
      <c r="E31" s="20"/>
      <c r="F31"/>
    </row>
    <row r="32" spans="2:8" ht="18" customHeight="1">
      <c r="B32" s="20"/>
      <c r="C32" s="20"/>
      <c r="D32" s="20" t="s">
        <v>34</v>
      </c>
      <c r="E32" s="20"/>
      <c r="F32" s="3" t="s">
        <v>83</v>
      </c>
      <c r="G32" s="83">
        <v>40</v>
      </c>
      <c r="H32" s="83" t="s">
        <v>243</v>
      </c>
    </row>
    <row r="33" spans="3:16" s="13" customFormat="1" ht="27" customHeight="1">
      <c r="C33" s="61" t="s">
        <v>86</v>
      </c>
      <c r="D33" s="61" t="s">
        <v>87</v>
      </c>
      <c r="E33" s="63" t="s">
        <v>191</v>
      </c>
      <c r="F33" s="156" t="s">
        <v>192</v>
      </c>
      <c r="G33" s="157"/>
      <c r="H33" s="67" t="s">
        <v>193</v>
      </c>
      <c r="I33" s="67" t="s">
        <v>194</v>
      </c>
      <c r="J33" s="64" t="s">
        <v>90</v>
      </c>
      <c r="K33" s="66"/>
      <c r="L33" s="100" t="s">
        <v>195</v>
      </c>
      <c r="M33" s="158" t="s">
        <v>196</v>
      </c>
      <c r="N33" s="159"/>
      <c r="O33" s="160"/>
      <c r="P33" s="80" t="s">
        <v>93</v>
      </c>
    </row>
    <row r="34" spans="3:16" s="3" customFormat="1" ht="18" customHeight="1">
      <c r="C34" s="31">
        <f>IF(L4="","",L4/1000)</f>
      </c>
      <c r="D34" s="31">
        <f>IF(P18="","",P18/1000)</f>
      </c>
      <c r="E34" s="31">
        <f>IF(L5="","",L5/1000)</f>
      </c>
      <c r="F34" s="150">
        <f>IF(L6="","",L6/1000)</f>
      </c>
      <c r="G34" s="151"/>
      <c r="H34" s="88">
        <f>IF(P16="","",P16/1000)</f>
      </c>
      <c r="I34" s="88">
        <f>IF(O13="","",O13/1000)</f>
      </c>
      <c r="J34" s="70">
        <f>IF(C34="","",C34*D34)</f>
      </c>
      <c r="K34" s="70"/>
      <c r="L34" s="69">
        <f>IF(C34="","",E34*H34)</f>
      </c>
      <c r="M34" s="152">
        <f>IF(C34="","",F34*I34)</f>
      </c>
      <c r="N34" s="153"/>
      <c r="O34" s="154"/>
      <c r="P34" s="59">
        <f>IF(F34="","",ROUNDDOWN((J34-L34)*G32/100+M34,3))</f>
      </c>
    </row>
    <row r="36" spans="1:4" ht="18" customHeight="1">
      <c r="A36" s="3">
        <v>4</v>
      </c>
      <c r="B36" s="20" t="s">
        <v>166</v>
      </c>
      <c r="C36" s="20"/>
      <c r="D36" s="20"/>
    </row>
    <row r="37" spans="2:4" ht="18" customHeight="1">
      <c r="B37" s="20"/>
      <c r="C37" s="20" t="s">
        <v>181</v>
      </c>
      <c r="D37" s="20"/>
    </row>
    <row r="38" spans="2:7" ht="18" customHeight="1">
      <c r="B38" s="20"/>
      <c r="C38" s="72" t="s">
        <v>83</v>
      </c>
      <c r="D38" s="73">
        <f>IF(C34="","",D27)</f>
      </c>
      <c r="E38" s="3" t="s">
        <v>94</v>
      </c>
      <c r="F38" s="74">
        <f>IF(C34="","",P34)</f>
      </c>
      <c r="G38" s="74"/>
    </row>
    <row r="39" spans="2:5" ht="18" customHeight="1">
      <c r="B39" s="20"/>
      <c r="C39" s="72" t="s">
        <v>83</v>
      </c>
      <c r="D39" s="73">
        <f>IF(C34="","",D38+F38)</f>
      </c>
      <c r="E39" s="1" t="s">
        <v>95</v>
      </c>
    </row>
    <row r="40" spans="2:4" ht="18" customHeight="1">
      <c r="B40" s="20"/>
      <c r="C40" s="20"/>
      <c r="D40" s="20"/>
    </row>
  </sheetData>
  <sheetProtection sheet="1" objects="1" scenarios="1"/>
  <mergeCells count="5">
    <mergeCell ref="F34:G34"/>
    <mergeCell ref="M34:O34"/>
    <mergeCell ref="M24:O24"/>
    <mergeCell ref="F33:G33"/>
    <mergeCell ref="M33:O33"/>
  </mergeCells>
  <printOptions/>
  <pageMargins left="0.55" right="0.37" top="1.38" bottom="0.69" header="1.02" footer="0.33"/>
  <pageSetup horizontalDpi="600" verticalDpi="600" orientation="portrait" paperSize="9" r:id="rId2"/>
  <headerFooter alignWithMargins="0">
    <oddFooter>&amp;C浸透計算 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L5" sqref="L5"/>
    </sheetView>
  </sheetViews>
  <sheetFormatPr defaultColWidth="9.00390625" defaultRowHeight="18" customHeight="1"/>
  <cols>
    <col min="1" max="2" width="4.625" style="1" customWidth="1"/>
    <col min="3" max="3" width="8.87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6384" width="9.00390625" style="1" customWidth="1"/>
  </cols>
  <sheetData>
    <row r="1" ht="18" customHeight="1">
      <c r="A1" s="1" t="s">
        <v>202</v>
      </c>
    </row>
    <row r="2" spans="1:2" ht="18" customHeight="1">
      <c r="A2" s="3">
        <v>1</v>
      </c>
      <c r="B2" s="1" t="s">
        <v>52</v>
      </c>
    </row>
    <row r="3" spans="1:12" ht="18" customHeight="1">
      <c r="A3" s="3"/>
      <c r="C3" s="2" t="s">
        <v>96</v>
      </c>
      <c r="D3" s="51" t="s">
        <v>97</v>
      </c>
      <c r="E3" s="21"/>
      <c r="L3" s="1" t="s">
        <v>53</v>
      </c>
    </row>
    <row r="4" spans="3:13" ht="18" customHeight="1">
      <c r="C4" s="24" t="s">
        <v>98</v>
      </c>
      <c r="D4" s="52"/>
      <c r="E4" s="86"/>
      <c r="I4" s="1" t="s">
        <v>99</v>
      </c>
      <c r="L4" s="147"/>
      <c r="M4" s="3"/>
    </row>
    <row r="5" spans="3:14" s="3" customFormat="1" ht="18" customHeight="1">
      <c r="C5" s="28" t="s">
        <v>55</v>
      </c>
      <c r="D5" s="53" t="s">
        <v>100</v>
      </c>
      <c r="E5" s="16"/>
      <c r="I5" s="19"/>
      <c r="J5" s="23" t="s">
        <v>57</v>
      </c>
      <c r="K5"/>
      <c r="L5" s="148"/>
      <c r="M5" s="19"/>
      <c r="N5" s="19"/>
    </row>
    <row r="6" spans="3:14" s="3" customFormat="1" ht="18" customHeight="1">
      <c r="C6" s="2" t="s">
        <v>58</v>
      </c>
      <c r="D6" s="51" t="s">
        <v>59</v>
      </c>
      <c r="E6" s="16"/>
      <c r="I6" s="19"/>
      <c r="J6" s="23" t="s">
        <v>101</v>
      </c>
      <c r="K6"/>
      <c r="L6" s="148"/>
      <c r="M6" s="19"/>
      <c r="N6" s="19"/>
    </row>
    <row r="7" spans="3:14" s="3" customFormat="1" ht="18" customHeight="1">
      <c r="C7" s="2" t="s">
        <v>61</v>
      </c>
      <c r="D7" s="51" t="s">
        <v>62</v>
      </c>
      <c r="E7" s="16"/>
      <c r="I7" s="19"/>
      <c r="J7" s="19"/>
      <c r="K7" s="19"/>
      <c r="L7" s="19"/>
      <c r="M7" s="19"/>
      <c r="N7" s="19"/>
    </row>
    <row r="8" spans="3:14" s="3" customFormat="1" ht="18" customHeight="1">
      <c r="C8" s="2" t="s">
        <v>63</v>
      </c>
      <c r="D8" s="51" t="s">
        <v>102</v>
      </c>
      <c r="E8" s="16"/>
      <c r="G8" s="18" t="s">
        <v>65</v>
      </c>
      <c r="I8" s="32"/>
      <c r="J8" s="121"/>
      <c r="K8" s="130"/>
      <c r="L8" s="130"/>
      <c r="M8" s="123"/>
      <c r="N8" s="34"/>
    </row>
    <row r="9" spans="3:14" s="3" customFormat="1" ht="18" customHeight="1">
      <c r="C9" s="2" t="s">
        <v>66</v>
      </c>
      <c r="D9" s="51" t="s">
        <v>199</v>
      </c>
      <c r="E9" s="16"/>
      <c r="I9" s="33"/>
      <c r="J9" s="124"/>
      <c r="K9" s="37"/>
      <c r="L9" s="19"/>
      <c r="M9" s="124"/>
      <c r="N9" s="35"/>
    </row>
    <row r="10" spans="3:14" s="3" customFormat="1" ht="18" customHeight="1">
      <c r="C10" s="2" t="s">
        <v>68</v>
      </c>
      <c r="D10" s="51">
        <f>IF(P17="","",P17/1000)</f>
      </c>
      <c r="E10" s="16"/>
      <c r="I10" s="42"/>
      <c r="J10" s="125"/>
      <c r="K10" s="37"/>
      <c r="L10" s="19"/>
      <c r="M10" s="125"/>
      <c r="N10" s="42"/>
    </row>
    <row r="11" spans="3:14" s="3" customFormat="1" ht="18" customHeight="1">
      <c r="C11" s="2" t="s">
        <v>69</v>
      </c>
      <c r="D11" s="51">
        <f>IF(L4="","",L4/1000)</f>
      </c>
      <c r="E11" s="16"/>
      <c r="I11" s="42"/>
      <c r="J11" s="125"/>
      <c r="K11" s="37"/>
      <c r="L11" s="19"/>
      <c r="M11" s="125"/>
      <c r="N11" s="42"/>
    </row>
    <row r="12" spans="3:14" ht="18" customHeight="1">
      <c r="C12" s="2" t="s">
        <v>70</v>
      </c>
      <c r="D12" s="51" t="s">
        <v>46</v>
      </c>
      <c r="E12" s="16"/>
      <c r="G12" s="1" t="s">
        <v>71</v>
      </c>
      <c r="I12" s="119"/>
      <c r="J12" s="131"/>
      <c r="K12" s="38"/>
      <c r="L12" s="20"/>
      <c r="M12" s="131"/>
      <c r="N12" s="119"/>
    </row>
    <row r="13" spans="3:16" ht="18" customHeight="1">
      <c r="C13" s="6" t="s">
        <v>72</v>
      </c>
      <c r="D13" s="54" t="s">
        <v>103</v>
      </c>
      <c r="E13" s="16"/>
      <c r="I13" s="119"/>
      <c r="J13" s="131"/>
      <c r="K13" s="38"/>
      <c r="L13" s="20"/>
      <c r="M13" s="131"/>
      <c r="N13" s="119"/>
      <c r="O13" s="44" t="s">
        <v>104</v>
      </c>
      <c r="P13" s="147"/>
    </row>
    <row r="14" spans="3:14" s="12" customFormat="1" ht="18" customHeight="1">
      <c r="C14" s="10"/>
      <c r="D14" s="55">
        <f>IF(D11="","",0.12*D11+0.985)</f>
      </c>
      <c r="E14" s="10"/>
      <c r="G14" s="18" t="s">
        <v>96</v>
      </c>
      <c r="H14" s="3"/>
      <c r="I14" s="41"/>
      <c r="J14" s="132"/>
      <c r="K14" s="39"/>
      <c r="L14" s="29"/>
      <c r="M14" s="132"/>
      <c r="N14" s="41"/>
    </row>
    <row r="15" spans="3:14" s="13" customFormat="1" ht="18" customHeight="1">
      <c r="C15" s="6" t="s">
        <v>73</v>
      </c>
      <c r="D15" s="56" t="s">
        <v>105</v>
      </c>
      <c r="E15" s="10"/>
      <c r="G15" s="1"/>
      <c r="H15" s="1"/>
      <c r="I15" s="120"/>
      <c r="J15" s="133"/>
      <c r="K15" s="40"/>
      <c r="L15" s="30"/>
      <c r="M15" s="133"/>
      <c r="N15" s="120"/>
    </row>
    <row r="16" spans="3:14" s="12" customFormat="1" ht="18" customHeight="1">
      <c r="C16" s="10"/>
      <c r="D16" s="55">
        <f>IF(D11="","",7.837*D11+0.82)</f>
      </c>
      <c r="E16" s="10"/>
      <c r="G16" s="3"/>
      <c r="H16" s="3"/>
      <c r="I16" s="41"/>
      <c r="J16" s="134"/>
      <c r="K16" s="135"/>
      <c r="L16" s="136"/>
      <c r="M16" s="134"/>
      <c r="N16" s="41"/>
    </row>
    <row r="17" spans="3:17" s="12" customFormat="1" ht="18" customHeight="1">
      <c r="C17" s="14" t="s">
        <v>106</v>
      </c>
      <c r="D17" s="56" t="s">
        <v>107</v>
      </c>
      <c r="E17" s="10"/>
      <c r="G17" s="1" t="s">
        <v>78</v>
      </c>
      <c r="H17" s="1"/>
      <c r="I17" s="41"/>
      <c r="J17" s="41"/>
      <c r="K17" s="41"/>
      <c r="L17" s="41"/>
      <c r="M17" s="41"/>
      <c r="N17" s="41"/>
      <c r="O17" s="43" t="s">
        <v>76</v>
      </c>
      <c r="P17" s="149"/>
      <c r="Q17" s="36"/>
    </row>
    <row r="18" spans="3:14" s="3" customFormat="1" ht="18" customHeight="1">
      <c r="C18" s="16"/>
      <c r="D18" s="57">
        <f>IF(D11="","",2.858*D11-0.283)</f>
      </c>
      <c r="E18" s="16"/>
      <c r="G18" s="18"/>
      <c r="I18" s="42"/>
      <c r="J18" s="42"/>
      <c r="K18" s="42"/>
      <c r="L18" s="42"/>
      <c r="M18" s="42"/>
      <c r="N18" s="42"/>
    </row>
    <row r="19" spans="3:15" s="3" customFormat="1" ht="18" customHeight="1">
      <c r="C19" s="2" t="s">
        <v>77</v>
      </c>
      <c r="D19" s="58">
        <f>IF(D11="","",ROUNDDOWN(D14*D10*D10+D16*D10+D18,3))</f>
      </c>
      <c r="E19" s="59"/>
      <c r="I19" s="115"/>
      <c r="J19" s="116"/>
      <c r="K19" s="117"/>
      <c r="L19" s="117" t="s">
        <v>81</v>
      </c>
      <c r="M19" s="116"/>
      <c r="N19" s="118"/>
      <c r="O19" s="3">
        <v>50</v>
      </c>
    </row>
    <row r="20" ht="18" customHeight="1">
      <c r="L20" s="1" t="s">
        <v>82</v>
      </c>
    </row>
    <row r="21" spans="1:9" ht="18" customHeight="1">
      <c r="A21" s="3">
        <v>2</v>
      </c>
      <c r="B21" s="20" t="s">
        <v>158</v>
      </c>
      <c r="C21" s="20"/>
      <c r="D21" s="20"/>
      <c r="E21" s="20"/>
      <c r="F21" s="20"/>
      <c r="I21" s="1" t="s">
        <v>238</v>
      </c>
    </row>
    <row r="22" spans="2:6" ht="18" customHeight="1">
      <c r="B22" s="20"/>
      <c r="C22" s="20" t="s">
        <v>170</v>
      </c>
      <c r="D22" s="20"/>
      <c r="E22" s="20"/>
      <c r="F22" s="20"/>
    </row>
    <row r="23" spans="2:6" ht="18" customHeight="1">
      <c r="B23" s="20"/>
      <c r="C23" s="20"/>
      <c r="D23" s="20" t="s">
        <v>161</v>
      </c>
      <c r="E23" s="20"/>
      <c r="F23"/>
    </row>
    <row r="24" spans="2:11" ht="18" customHeight="1">
      <c r="B24" s="20"/>
      <c r="C24" s="20"/>
      <c r="D24" s="20" t="s">
        <v>30</v>
      </c>
      <c r="E24" s="20"/>
      <c r="F24"/>
      <c r="I24" s="3" t="s">
        <v>83</v>
      </c>
      <c r="J24" s="3"/>
      <c r="K24" s="44">
        <f>IF(D19="","",D19)</f>
      </c>
    </row>
    <row r="25" spans="2:11" ht="18" customHeight="1">
      <c r="B25" s="20"/>
      <c r="C25" s="20"/>
      <c r="D25" s="20" t="s">
        <v>163</v>
      </c>
      <c r="E25" s="20"/>
      <c r="F25"/>
      <c r="I25" s="3" t="s">
        <v>83</v>
      </c>
      <c r="K25" s="44">
        <f>IF('浸透施設設計'!F4="","",'浸透施設設計'!F4)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172</v>
      </c>
      <c r="D27" s="46">
        <f>IF(K24="","",ROUNDDOWN(K24*K25,3))</f>
      </c>
      <c r="E27" s="1" t="s">
        <v>84</v>
      </c>
      <c r="F27"/>
    </row>
    <row r="29" spans="1:6" ht="18" customHeight="1">
      <c r="A29" s="3">
        <v>3</v>
      </c>
      <c r="B29" s="20" t="s">
        <v>164</v>
      </c>
      <c r="C29" s="20"/>
      <c r="D29" s="20"/>
      <c r="E29" s="20"/>
      <c r="F29" s="20"/>
    </row>
    <row r="30" spans="2:6" ht="18" customHeight="1">
      <c r="B30" s="20"/>
      <c r="C30" s="20" t="s">
        <v>108</v>
      </c>
      <c r="D30" s="20"/>
      <c r="E30" s="20"/>
      <c r="F30"/>
    </row>
    <row r="31" spans="2:6" ht="18" customHeight="1">
      <c r="B31" s="20"/>
      <c r="C31" s="20"/>
      <c r="D31" s="20" t="s">
        <v>165</v>
      </c>
      <c r="E31" s="20"/>
      <c r="F31"/>
    </row>
    <row r="32" spans="2:8" ht="18" customHeight="1">
      <c r="B32" s="20"/>
      <c r="C32" s="20"/>
      <c r="D32" s="20" t="s">
        <v>34</v>
      </c>
      <c r="E32" s="20"/>
      <c r="F32" s="3" t="s">
        <v>83</v>
      </c>
      <c r="G32" s="83">
        <v>40</v>
      </c>
      <c r="H32" s="83" t="s">
        <v>243</v>
      </c>
    </row>
    <row r="33" spans="3:16" s="13" customFormat="1" ht="27" customHeight="1">
      <c r="C33" s="61" t="s">
        <v>86</v>
      </c>
      <c r="D33" s="61" t="s">
        <v>87</v>
      </c>
      <c r="E33" s="63" t="s">
        <v>88</v>
      </c>
      <c r="F33" s="64" t="s">
        <v>89</v>
      </c>
      <c r="G33" s="62"/>
      <c r="H33" s="64" t="s">
        <v>109</v>
      </c>
      <c r="I33" s="62"/>
      <c r="J33" s="64" t="s">
        <v>110</v>
      </c>
      <c r="K33" s="62"/>
      <c r="L33" s="65" t="s">
        <v>111</v>
      </c>
      <c r="M33" s="66" t="s">
        <v>112</v>
      </c>
      <c r="N33" s="62"/>
      <c r="O33" s="62"/>
      <c r="P33" s="67" t="s">
        <v>93</v>
      </c>
    </row>
    <row r="34" spans="3:16" s="3" customFormat="1" ht="18" customHeight="1">
      <c r="C34" s="31">
        <f>IF(L4="","",L4/1000)</f>
      </c>
      <c r="D34" s="31">
        <f>IF(P17="","",P17/1000)</f>
      </c>
      <c r="E34" s="31">
        <f>IF(L5="","",L5/1000)</f>
      </c>
      <c r="F34" s="53">
        <f>IF(L6="","",L6/1000)</f>
      </c>
      <c r="G34" s="68"/>
      <c r="H34" s="53">
        <f>IF(P13="","",P13/1000)</f>
      </c>
      <c r="I34" s="68"/>
      <c r="J34" s="53">
        <f>IF(C34="","",C34^2*D34)</f>
      </c>
      <c r="K34" s="68"/>
      <c r="L34" s="69">
        <f>IF(E34="","",E34^2*PI()/4*H34)</f>
      </c>
      <c r="M34" s="70">
        <f>IF(F34="","",F34^2*PI()/4*H34)</f>
      </c>
      <c r="N34" s="68"/>
      <c r="O34" s="68"/>
      <c r="P34" s="71">
        <f>IF(C34="","",ROUNDDOWN((J34-L34)*G32/100+M34,3))</f>
      </c>
    </row>
    <row r="36" spans="1:4" ht="18" customHeight="1">
      <c r="A36" s="3">
        <v>4</v>
      </c>
      <c r="B36" s="20" t="s">
        <v>166</v>
      </c>
      <c r="C36" s="20"/>
      <c r="D36" s="20"/>
    </row>
    <row r="37" spans="2:4" ht="18" customHeight="1">
      <c r="B37" s="20"/>
      <c r="C37" s="20" t="s">
        <v>171</v>
      </c>
      <c r="D37" s="20"/>
    </row>
    <row r="38" spans="2:7" ht="18" customHeight="1">
      <c r="B38" s="20"/>
      <c r="C38" s="72" t="s">
        <v>83</v>
      </c>
      <c r="D38" s="73">
        <f>IF(C34="","",D27)</f>
      </c>
      <c r="E38" s="3" t="s">
        <v>94</v>
      </c>
      <c r="F38" s="74">
        <f>IF(C34="","",P34)</f>
      </c>
      <c r="G38" s="74"/>
    </row>
    <row r="39" spans="2:5" ht="18" customHeight="1">
      <c r="B39" s="20"/>
      <c r="C39" s="72" t="s">
        <v>83</v>
      </c>
      <c r="D39" s="73">
        <f>IF(C34="","",D38+F38)</f>
      </c>
      <c r="E39" s="1" t="s">
        <v>113</v>
      </c>
    </row>
    <row r="40" spans="2:4" ht="18" customHeight="1">
      <c r="B40" s="20"/>
      <c r="C40" s="20"/>
      <c r="D40" s="20"/>
    </row>
  </sheetData>
  <sheetProtection sheet="1"/>
  <printOptions/>
  <pageMargins left="0.55" right="0.37" top="1.38" bottom="0.69" header="1.02" footer="0.33"/>
  <pageSetup horizontalDpi="600" verticalDpi="600" orientation="portrait" paperSize="9" r:id="rId2"/>
  <headerFooter alignWithMargins="0">
    <oddHeader>&amp;C&amp;A</oddHeader>
    <oddFooter>&amp;C浸透計算 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31">
      <selection activeCell="L4" sqref="L4"/>
    </sheetView>
  </sheetViews>
  <sheetFormatPr defaultColWidth="9.00390625" defaultRowHeight="18" customHeight="1"/>
  <cols>
    <col min="1" max="2" width="4.625" style="1" customWidth="1"/>
    <col min="3" max="3" width="8.875" style="3" customWidth="1"/>
    <col min="4" max="5" width="7.625" style="1" customWidth="1"/>
    <col min="6" max="6" width="4.625" style="1" customWidth="1"/>
    <col min="7" max="7" width="5.875" style="1" customWidth="1"/>
    <col min="8" max="8" width="4.50390625" style="1" customWidth="1"/>
    <col min="9" max="9" width="4.625" style="1" customWidth="1"/>
    <col min="10" max="10" width="2.625" style="1" customWidth="1"/>
    <col min="11" max="11" width="7.25390625" style="1" customWidth="1"/>
    <col min="12" max="12" width="11.75390625" style="1" customWidth="1"/>
    <col min="13" max="13" width="2.625" style="1" customWidth="1"/>
    <col min="14" max="15" width="4.625" style="1" customWidth="1"/>
    <col min="16" max="16" width="7.75390625" style="1" customWidth="1"/>
    <col min="17" max="18" width="4.625" style="1" customWidth="1"/>
    <col min="19" max="16384" width="9.00390625" style="1" customWidth="1"/>
  </cols>
  <sheetData>
    <row r="1" ht="18" customHeight="1">
      <c r="A1" s="1" t="s">
        <v>201</v>
      </c>
    </row>
    <row r="2" spans="1:2" ht="18" customHeight="1">
      <c r="A2" s="3">
        <v>1</v>
      </c>
      <c r="B2" s="1" t="s">
        <v>52</v>
      </c>
    </row>
    <row r="3" spans="1:12" ht="18" customHeight="1">
      <c r="A3" s="3"/>
      <c r="C3" s="2" t="s">
        <v>96</v>
      </c>
      <c r="D3" s="51" t="s">
        <v>114</v>
      </c>
      <c r="E3" s="21"/>
      <c r="L3" s="1" t="s">
        <v>53</v>
      </c>
    </row>
    <row r="4" spans="3:13" ht="18" customHeight="1">
      <c r="C4" s="24" t="s">
        <v>98</v>
      </c>
      <c r="D4" s="52"/>
      <c r="E4" s="86"/>
      <c r="I4" s="1" t="s">
        <v>99</v>
      </c>
      <c r="L4" s="147"/>
      <c r="M4" s="3"/>
    </row>
    <row r="5" spans="3:14" s="3" customFormat="1" ht="18" customHeight="1">
      <c r="C5" s="28" t="s">
        <v>55</v>
      </c>
      <c r="D5" s="53" t="s">
        <v>100</v>
      </c>
      <c r="E5" s="16"/>
      <c r="I5" s="19"/>
      <c r="J5" s="23" t="s">
        <v>115</v>
      </c>
      <c r="K5"/>
      <c r="L5" s="148"/>
      <c r="M5" s="19"/>
      <c r="N5" s="19"/>
    </row>
    <row r="6" spans="3:14" s="3" customFormat="1" ht="18" customHeight="1">
      <c r="C6" s="2" t="s">
        <v>58</v>
      </c>
      <c r="D6" s="51" t="s">
        <v>59</v>
      </c>
      <c r="E6" s="16"/>
      <c r="I6" s="19"/>
      <c r="J6" s="23" t="s">
        <v>116</v>
      </c>
      <c r="K6"/>
      <c r="L6" s="148"/>
      <c r="M6" s="19"/>
      <c r="N6" s="19"/>
    </row>
    <row r="7" spans="3:14" s="3" customFormat="1" ht="18" customHeight="1">
      <c r="C7" s="2" t="s">
        <v>61</v>
      </c>
      <c r="D7" s="51" t="s">
        <v>62</v>
      </c>
      <c r="E7" s="16"/>
      <c r="I7" s="19"/>
      <c r="J7" s="19"/>
      <c r="K7" s="19"/>
      <c r="L7" s="19"/>
      <c r="M7" s="19"/>
      <c r="N7" s="19"/>
    </row>
    <row r="8" spans="3:14" s="3" customFormat="1" ht="18" customHeight="1">
      <c r="C8" s="2" t="s">
        <v>63</v>
      </c>
      <c r="D8" s="51" t="s">
        <v>102</v>
      </c>
      <c r="E8" s="16"/>
      <c r="G8" s="18" t="s">
        <v>65</v>
      </c>
      <c r="I8" s="32"/>
      <c r="J8" s="121"/>
      <c r="K8" s="130"/>
      <c r="L8" s="130"/>
      <c r="M8" s="123"/>
      <c r="N8" s="34"/>
    </row>
    <row r="9" spans="3:14" s="3" customFormat="1" ht="18" customHeight="1">
      <c r="C9" s="2" t="s">
        <v>66</v>
      </c>
      <c r="D9" s="51" t="s">
        <v>199</v>
      </c>
      <c r="E9" s="16"/>
      <c r="I9" s="33"/>
      <c r="J9" s="124"/>
      <c r="K9" s="37"/>
      <c r="L9" s="19"/>
      <c r="M9" s="124"/>
      <c r="N9" s="35"/>
    </row>
    <row r="10" spans="3:14" s="3" customFormat="1" ht="18" customHeight="1">
      <c r="C10" s="2" t="s">
        <v>68</v>
      </c>
      <c r="D10" s="51">
        <f>IF(P17="","",P17/1000)</f>
      </c>
      <c r="E10" s="16"/>
      <c r="I10" s="42"/>
      <c r="J10" s="125"/>
      <c r="K10" s="37"/>
      <c r="L10" s="19"/>
      <c r="M10" s="125"/>
      <c r="N10" s="42"/>
    </row>
    <row r="11" spans="3:14" s="3" customFormat="1" ht="18" customHeight="1">
      <c r="C11" s="2" t="s">
        <v>69</v>
      </c>
      <c r="D11" s="51">
        <f>IF(L4="","",L4/1000)</f>
      </c>
      <c r="E11" s="16"/>
      <c r="I11" s="42"/>
      <c r="J11" s="125"/>
      <c r="K11" s="37"/>
      <c r="L11" s="19"/>
      <c r="M11" s="125"/>
      <c r="N11" s="42"/>
    </row>
    <row r="12" spans="3:14" ht="18" customHeight="1">
      <c r="C12" s="2" t="s">
        <v>70</v>
      </c>
      <c r="D12" s="51" t="s">
        <v>46</v>
      </c>
      <c r="E12" s="16"/>
      <c r="G12" s="1" t="s">
        <v>71</v>
      </c>
      <c r="I12" s="119"/>
      <c r="J12" s="131"/>
      <c r="K12" s="38"/>
      <c r="L12" s="20"/>
      <c r="M12" s="131"/>
      <c r="N12" s="119"/>
    </row>
    <row r="13" spans="3:16" ht="18" customHeight="1">
      <c r="C13" s="6" t="s">
        <v>72</v>
      </c>
      <c r="D13" s="54" t="s">
        <v>103</v>
      </c>
      <c r="E13" s="16"/>
      <c r="I13" s="119"/>
      <c r="J13" s="131"/>
      <c r="K13" s="38"/>
      <c r="L13" s="20"/>
      <c r="M13" s="131"/>
      <c r="N13" s="119"/>
      <c r="O13" s="44" t="s">
        <v>104</v>
      </c>
      <c r="P13" s="147"/>
    </row>
    <row r="14" spans="3:14" s="12" customFormat="1" ht="18" customHeight="1">
      <c r="C14" s="10"/>
      <c r="D14" s="55">
        <f>IF(D11="","",0.12*D11+0.985)</f>
      </c>
      <c r="E14" s="10"/>
      <c r="G14" s="18" t="s">
        <v>96</v>
      </c>
      <c r="H14" s="3"/>
      <c r="I14" s="41"/>
      <c r="J14" s="132"/>
      <c r="K14" s="39"/>
      <c r="L14" s="29"/>
      <c r="M14" s="132"/>
      <c r="N14" s="41"/>
    </row>
    <row r="15" spans="3:14" s="13" customFormat="1" ht="18" customHeight="1">
      <c r="C15" s="6" t="s">
        <v>73</v>
      </c>
      <c r="D15" s="56" t="s">
        <v>105</v>
      </c>
      <c r="E15" s="10"/>
      <c r="G15" s="1"/>
      <c r="H15" s="1"/>
      <c r="I15" s="120"/>
      <c r="J15" s="133"/>
      <c r="K15" s="40"/>
      <c r="L15" s="30"/>
      <c r="M15" s="133"/>
      <c r="N15" s="120"/>
    </row>
    <row r="16" spans="3:14" s="12" customFormat="1" ht="18" customHeight="1">
      <c r="C16" s="10"/>
      <c r="D16" s="55">
        <f>IF(D11="","",7.837*D11+0.82)</f>
      </c>
      <c r="E16" s="10"/>
      <c r="G16" s="3"/>
      <c r="H16" s="3"/>
      <c r="I16" s="41"/>
      <c r="J16" s="134"/>
      <c r="K16" s="135"/>
      <c r="L16" s="136"/>
      <c r="M16" s="134"/>
      <c r="N16" s="41"/>
    </row>
    <row r="17" spans="3:17" s="12" customFormat="1" ht="18" customHeight="1">
      <c r="C17" s="14" t="s">
        <v>106</v>
      </c>
      <c r="D17" s="56" t="s">
        <v>107</v>
      </c>
      <c r="E17" s="10"/>
      <c r="G17" s="1" t="s">
        <v>78</v>
      </c>
      <c r="H17" s="1"/>
      <c r="I17" s="41"/>
      <c r="J17" s="41"/>
      <c r="K17" s="41"/>
      <c r="L17" s="41"/>
      <c r="M17" s="41"/>
      <c r="N17" s="41"/>
      <c r="O17" s="43" t="s">
        <v>76</v>
      </c>
      <c r="P17" s="149"/>
      <c r="Q17" s="36"/>
    </row>
    <row r="18" spans="3:14" s="3" customFormat="1" ht="18" customHeight="1">
      <c r="C18" s="16"/>
      <c r="D18" s="57">
        <f>IF(D11="","",2.858*D11-0.283)</f>
      </c>
      <c r="E18" s="16"/>
      <c r="G18" s="18"/>
      <c r="I18" s="42"/>
      <c r="J18" s="42"/>
      <c r="K18" s="42"/>
      <c r="L18" s="42"/>
      <c r="M18" s="42"/>
      <c r="N18" s="42"/>
    </row>
    <row r="19" spans="3:15" s="3" customFormat="1" ht="18" customHeight="1">
      <c r="C19" s="2" t="s">
        <v>77</v>
      </c>
      <c r="D19" s="58">
        <f>IF(D11="","",ROUNDDOWN(D14*D10*D10+D16*D10+D18,3))</f>
      </c>
      <c r="E19" s="59"/>
      <c r="I19" s="115"/>
      <c r="J19" s="116"/>
      <c r="K19" s="117"/>
      <c r="L19" s="117" t="s">
        <v>81</v>
      </c>
      <c r="M19" s="116"/>
      <c r="N19" s="118"/>
      <c r="O19" s="3">
        <v>50</v>
      </c>
    </row>
    <row r="20" ht="18" customHeight="1">
      <c r="L20" s="1" t="s">
        <v>82</v>
      </c>
    </row>
    <row r="21" spans="1:9" ht="18" customHeight="1">
      <c r="A21" s="3">
        <v>2</v>
      </c>
      <c r="B21" s="20" t="s">
        <v>158</v>
      </c>
      <c r="C21" s="20"/>
      <c r="D21" s="20"/>
      <c r="E21" s="20"/>
      <c r="F21" s="20"/>
      <c r="I21" s="1" t="s">
        <v>238</v>
      </c>
    </row>
    <row r="22" spans="2:6" ht="18" customHeight="1">
      <c r="B22" s="20"/>
      <c r="C22" s="20" t="s">
        <v>170</v>
      </c>
      <c r="D22" s="20"/>
      <c r="E22" s="20"/>
      <c r="F22" s="20"/>
    </row>
    <row r="23" spans="2:6" ht="18" customHeight="1">
      <c r="B23" s="20"/>
      <c r="C23" s="20"/>
      <c r="D23" s="20" t="s">
        <v>161</v>
      </c>
      <c r="E23" s="20"/>
      <c r="F23"/>
    </row>
    <row r="24" spans="2:11" ht="18" customHeight="1">
      <c r="B24" s="20"/>
      <c r="C24" s="20"/>
      <c r="D24" s="20" t="s">
        <v>30</v>
      </c>
      <c r="E24" s="20"/>
      <c r="F24"/>
      <c r="I24" s="3" t="s">
        <v>83</v>
      </c>
      <c r="J24" s="3"/>
      <c r="K24" s="44">
        <f>IF(D19="","",D19)</f>
      </c>
    </row>
    <row r="25" spans="2:11" ht="18" customHeight="1">
      <c r="B25" s="20"/>
      <c r="C25" s="20"/>
      <c r="D25" s="20" t="s">
        <v>163</v>
      </c>
      <c r="E25" s="20"/>
      <c r="F25"/>
      <c r="I25" s="3" t="s">
        <v>83</v>
      </c>
      <c r="K25" s="44">
        <f>IF('浸透施設設計'!F4="","",'浸透施設設計'!F4)</f>
        <v>0.1</v>
      </c>
    </row>
    <row r="26" spans="2:11" ht="18" customHeight="1">
      <c r="B26" s="20"/>
      <c r="C26" s="20"/>
      <c r="D26" s="20"/>
      <c r="E26" s="20"/>
      <c r="F26"/>
      <c r="I26" s="3"/>
      <c r="K26" s="44"/>
    </row>
    <row r="27" spans="3:6" ht="18" customHeight="1">
      <c r="C27" s="20" t="s">
        <v>172</v>
      </c>
      <c r="D27" s="46">
        <f>IF(K24="","",ROUNDDOWN(K24*K25,3))</f>
      </c>
      <c r="E27" s="1" t="s">
        <v>84</v>
      </c>
      <c r="F27"/>
    </row>
    <row r="29" spans="1:6" ht="18" customHeight="1">
      <c r="A29" s="3">
        <v>3</v>
      </c>
      <c r="B29" s="20" t="s">
        <v>164</v>
      </c>
      <c r="C29" s="20"/>
      <c r="D29" s="20"/>
      <c r="E29" s="20"/>
      <c r="F29" s="20"/>
    </row>
    <row r="30" spans="2:6" ht="18" customHeight="1">
      <c r="B30" s="20"/>
      <c r="C30" s="20" t="s">
        <v>117</v>
      </c>
      <c r="D30" s="20"/>
      <c r="E30" s="20"/>
      <c r="F30"/>
    </row>
    <row r="31" spans="2:6" ht="18" customHeight="1">
      <c r="B31" s="20"/>
      <c r="C31" s="20"/>
      <c r="D31" s="20" t="s">
        <v>165</v>
      </c>
      <c r="E31" s="20"/>
      <c r="F31"/>
    </row>
    <row r="32" spans="2:8" ht="18" customHeight="1">
      <c r="B32" s="20"/>
      <c r="C32" s="20"/>
      <c r="D32" s="20" t="s">
        <v>34</v>
      </c>
      <c r="E32" s="20"/>
      <c r="F32" s="3" t="s">
        <v>83</v>
      </c>
      <c r="G32" s="137">
        <v>40</v>
      </c>
      <c r="H32" s="83" t="s">
        <v>243</v>
      </c>
    </row>
    <row r="33" spans="3:16" s="13" customFormat="1" ht="27" customHeight="1">
      <c r="C33" s="61" t="s">
        <v>86</v>
      </c>
      <c r="D33" s="61" t="s">
        <v>87</v>
      </c>
      <c r="E33" s="61" t="s">
        <v>118</v>
      </c>
      <c r="F33" s="64" t="s">
        <v>119</v>
      </c>
      <c r="G33" s="62"/>
      <c r="H33" s="64" t="s">
        <v>109</v>
      </c>
      <c r="I33" s="62"/>
      <c r="J33" s="64" t="s">
        <v>110</v>
      </c>
      <c r="K33" s="62"/>
      <c r="L33" s="75" t="s">
        <v>120</v>
      </c>
      <c r="M33" s="76" t="s">
        <v>121</v>
      </c>
      <c r="N33" s="62"/>
      <c r="O33" s="62"/>
      <c r="P33" s="67" t="s">
        <v>93</v>
      </c>
    </row>
    <row r="34" spans="3:16" s="3" customFormat="1" ht="18" customHeight="1">
      <c r="C34" s="31">
        <f>IF(L4="","",L4/1000)</f>
      </c>
      <c r="D34" s="31">
        <f>IF(P17="","",P17/1000)</f>
      </c>
      <c r="E34" s="31">
        <f>IF(L5="","",L5/1000)</f>
      </c>
      <c r="F34" s="53">
        <f>IF(L6="","",L6/1000)</f>
      </c>
      <c r="G34" s="68"/>
      <c r="H34" s="53">
        <f>IF(P13="","",P13/1000)</f>
      </c>
      <c r="I34" s="68"/>
      <c r="J34" s="53">
        <f>IF(C34="","",C34^2*D34)</f>
      </c>
      <c r="K34" s="68"/>
      <c r="L34" s="69">
        <f>IF(E34="","",E34^2*H34)</f>
      </c>
      <c r="M34" s="70">
        <f>IF(F34="","",F34^2*H34)</f>
      </c>
      <c r="N34" s="68"/>
      <c r="O34" s="68"/>
      <c r="P34" s="71">
        <f>IF(C34="","",ROUNDDOWN((J34-L34)*G32/100+M34,3))</f>
      </c>
    </row>
    <row r="36" spans="1:4" ht="18" customHeight="1">
      <c r="A36" s="3">
        <v>4</v>
      </c>
      <c r="B36" s="20" t="s">
        <v>166</v>
      </c>
      <c r="C36" s="20"/>
      <c r="D36" s="20"/>
    </row>
    <row r="37" spans="2:4" ht="18" customHeight="1">
      <c r="B37" s="20"/>
      <c r="C37" s="20" t="s">
        <v>171</v>
      </c>
      <c r="D37" s="20"/>
    </row>
    <row r="38" spans="2:7" ht="18" customHeight="1">
      <c r="B38" s="20"/>
      <c r="C38" s="72" t="s">
        <v>83</v>
      </c>
      <c r="D38" s="73">
        <f>IF(C34="","",D27)</f>
      </c>
      <c r="E38" s="3" t="s">
        <v>94</v>
      </c>
      <c r="F38" s="74">
        <f>IF(C34="","",P34)</f>
      </c>
      <c r="G38" s="74"/>
    </row>
    <row r="39" spans="2:5" ht="18" customHeight="1">
      <c r="B39" s="20"/>
      <c r="C39" s="72" t="s">
        <v>83</v>
      </c>
      <c r="D39" s="73">
        <f>IF(C34="","",D38+F38)</f>
      </c>
      <c r="E39" s="1" t="s">
        <v>113</v>
      </c>
    </row>
    <row r="40" spans="2:4" ht="18" customHeight="1">
      <c r="B40" s="20"/>
      <c r="C40" s="20"/>
      <c r="D40" s="20"/>
    </row>
  </sheetData>
  <sheetProtection sheet="1" objects="1" scenarios="1"/>
  <printOptions/>
  <pageMargins left="0.55" right="0.37" top="1.38" bottom="0.69" header="1.02" footer="0.33"/>
  <pageSetup horizontalDpi="600" verticalDpi="600" orientation="portrait" paperSize="9" r:id="rId2"/>
  <headerFooter alignWithMargins="0">
    <oddHeader>&amp;C&amp;A</oddHeader>
    <oddFooter>&amp;C浸透計算 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30" sqref="D30"/>
    </sheetView>
  </sheetViews>
  <sheetFormatPr defaultColWidth="9.00390625" defaultRowHeight="13.5"/>
  <cols>
    <col min="1" max="1" width="11.00390625" style="3" customWidth="1"/>
    <col min="2" max="2" width="14.375" style="1" customWidth="1"/>
    <col min="3" max="3" width="16.375" style="1" customWidth="1"/>
    <col min="4" max="4" width="16.50390625" style="1" customWidth="1"/>
    <col min="5" max="5" width="24.25390625" style="1" customWidth="1"/>
    <col min="6" max="6" width="26.00390625" style="1" customWidth="1"/>
    <col min="7" max="7" width="25.875" style="1" customWidth="1"/>
    <col min="8" max="8" width="15.875" style="1" customWidth="1"/>
    <col min="9" max="9" width="25.75390625" style="1" customWidth="1"/>
    <col min="10" max="10" width="23.875" style="1" customWidth="1"/>
    <col min="11" max="11" width="31.375" style="1" customWidth="1"/>
    <col min="12" max="16384" width="9.00390625" style="1" customWidth="1"/>
  </cols>
  <sheetData>
    <row r="1" spans="1:11" s="3" customFormat="1" ht="24" customHeight="1">
      <c r="A1" s="2" t="s">
        <v>122</v>
      </c>
      <c r="B1" s="2" t="s">
        <v>123</v>
      </c>
      <c r="C1" s="2" t="s">
        <v>56</v>
      </c>
      <c r="D1" s="2" t="s">
        <v>124</v>
      </c>
      <c r="E1" s="2" t="s">
        <v>124</v>
      </c>
      <c r="F1" s="2" t="s">
        <v>124</v>
      </c>
      <c r="G1" s="2" t="s">
        <v>124</v>
      </c>
      <c r="H1" s="2" t="s">
        <v>125</v>
      </c>
      <c r="I1" s="2" t="s">
        <v>125</v>
      </c>
      <c r="J1" s="2" t="s">
        <v>125</v>
      </c>
      <c r="K1" s="2" t="s">
        <v>126</v>
      </c>
    </row>
    <row r="2" spans="1:11" s="3" customFormat="1" ht="24" customHeight="1">
      <c r="A2" s="2" t="s">
        <v>58</v>
      </c>
      <c r="B2" s="2" t="s">
        <v>127</v>
      </c>
      <c r="C2" s="2" t="s">
        <v>59</v>
      </c>
      <c r="D2" s="2" t="s">
        <v>59</v>
      </c>
      <c r="E2" s="2" t="s">
        <v>59</v>
      </c>
      <c r="F2" s="2" t="s">
        <v>127</v>
      </c>
      <c r="G2" s="2" t="s">
        <v>127</v>
      </c>
      <c r="H2" s="2" t="s">
        <v>59</v>
      </c>
      <c r="I2" s="2" t="s">
        <v>59</v>
      </c>
      <c r="J2" s="2" t="s">
        <v>127</v>
      </c>
      <c r="K2" s="2" t="s">
        <v>59</v>
      </c>
    </row>
    <row r="3" spans="1:11" s="3" customFormat="1" ht="24" customHeight="1">
      <c r="A3" s="2" t="s">
        <v>61</v>
      </c>
      <c r="B3" s="2" t="s">
        <v>62</v>
      </c>
      <c r="C3" s="2" t="s">
        <v>62</v>
      </c>
      <c r="D3" s="2" t="s">
        <v>62</v>
      </c>
      <c r="E3" s="2" t="s">
        <v>62</v>
      </c>
      <c r="F3" s="2" t="s">
        <v>62</v>
      </c>
      <c r="G3" s="2" t="s">
        <v>62</v>
      </c>
      <c r="H3" s="2" t="s">
        <v>62</v>
      </c>
      <c r="I3" s="2" t="s">
        <v>62</v>
      </c>
      <c r="J3" s="2" t="s">
        <v>62</v>
      </c>
      <c r="K3" s="2" t="s">
        <v>62</v>
      </c>
    </row>
    <row r="4" spans="1:11" s="3" customFormat="1" ht="24" customHeight="1">
      <c r="A4" s="2" t="s">
        <v>63</v>
      </c>
      <c r="B4" s="2" t="s">
        <v>128</v>
      </c>
      <c r="C4" s="2" t="s">
        <v>64</v>
      </c>
      <c r="D4" s="2" t="s">
        <v>129</v>
      </c>
      <c r="E4" s="2" t="s">
        <v>130</v>
      </c>
      <c r="F4" s="2" t="s">
        <v>131</v>
      </c>
      <c r="G4" s="2" t="s">
        <v>130</v>
      </c>
      <c r="H4" s="2" t="s">
        <v>102</v>
      </c>
      <c r="I4" s="2" t="s">
        <v>132</v>
      </c>
      <c r="J4" s="2" t="s">
        <v>102</v>
      </c>
      <c r="K4" s="2" t="s">
        <v>133</v>
      </c>
    </row>
    <row r="5" spans="1:11" s="3" customFormat="1" ht="24" customHeight="1">
      <c r="A5" s="2" t="s">
        <v>66</v>
      </c>
      <c r="B5" s="2" t="s">
        <v>67</v>
      </c>
      <c r="C5" s="2" t="s">
        <v>67</v>
      </c>
      <c r="D5" s="2" t="s">
        <v>203</v>
      </c>
      <c r="E5" s="2" t="s">
        <v>67</v>
      </c>
      <c r="F5" s="2" t="s">
        <v>67</v>
      </c>
      <c r="G5" s="2" t="s">
        <v>67</v>
      </c>
      <c r="H5" s="2" t="s">
        <v>203</v>
      </c>
      <c r="I5" s="2" t="s">
        <v>67</v>
      </c>
      <c r="J5" s="2" t="s">
        <v>67</v>
      </c>
      <c r="K5" s="2" t="s">
        <v>67</v>
      </c>
    </row>
    <row r="6" spans="1:11" s="3" customFormat="1" ht="24" customHeight="1">
      <c r="A6" s="2" t="s">
        <v>68</v>
      </c>
      <c r="B6" s="5"/>
      <c r="C6" s="5">
        <v>0.7</v>
      </c>
      <c r="D6" s="5">
        <v>0.6</v>
      </c>
      <c r="E6" s="5"/>
      <c r="F6" s="5"/>
      <c r="G6" s="5"/>
      <c r="H6" s="5">
        <v>1.4</v>
      </c>
      <c r="I6" s="5"/>
      <c r="J6" s="5"/>
      <c r="K6" s="5">
        <v>1.4</v>
      </c>
    </row>
    <row r="7" spans="1:11" s="3" customFormat="1" ht="24" customHeight="1">
      <c r="A7" s="2" t="s">
        <v>134</v>
      </c>
      <c r="B7" s="2" t="s">
        <v>46</v>
      </c>
      <c r="C7" s="5">
        <v>1.82</v>
      </c>
      <c r="D7" s="5">
        <v>0.7</v>
      </c>
      <c r="E7" s="5"/>
      <c r="F7" s="5"/>
      <c r="G7" s="5"/>
      <c r="H7" s="5">
        <v>0.9</v>
      </c>
      <c r="I7" s="5"/>
      <c r="J7" s="5"/>
      <c r="K7" s="5">
        <v>2</v>
      </c>
    </row>
    <row r="8" spans="1:11" ht="24" customHeight="1">
      <c r="A8" s="2" t="s">
        <v>70</v>
      </c>
      <c r="B8" s="2" t="s">
        <v>46</v>
      </c>
      <c r="C8" s="2" t="s">
        <v>46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5">
        <v>7</v>
      </c>
    </row>
    <row r="9" spans="1:11" ht="38.25" customHeight="1">
      <c r="A9" s="6" t="s">
        <v>72</v>
      </c>
      <c r="B9" s="7"/>
      <c r="C9" s="7"/>
      <c r="D9" s="7" t="s">
        <v>135</v>
      </c>
      <c r="E9" s="7" t="s">
        <v>136</v>
      </c>
      <c r="F9" s="7" t="s">
        <v>137</v>
      </c>
      <c r="G9" s="7" t="s">
        <v>138</v>
      </c>
      <c r="H9" s="7" t="s">
        <v>103</v>
      </c>
      <c r="I9" s="8" t="s">
        <v>139</v>
      </c>
      <c r="J9" s="7" t="s">
        <v>140</v>
      </c>
      <c r="K9" s="7" t="s">
        <v>141</v>
      </c>
    </row>
    <row r="10" spans="1:11" s="12" customFormat="1" ht="13.5">
      <c r="A10" s="10"/>
      <c r="B10" s="11">
        <v>0.014</v>
      </c>
      <c r="C10" s="11">
        <v>3.093</v>
      </c>
      <c r="D10" s="11">
        <f>IF(D7="","",0.475*D7+0.945)</f>
        <v>1.2774999999999999</v>
      </c>
      <c r="E10" s="11">
        <f>IF(E7="","","=6.244*E7+2.853")</f>
      </c>
      <c r="F10" s="11">
        <f>IF(F7="","",1.497*F7-0.1)</f>
      </c>
      <c r="G10" s="11">
        <f>IF(G7="","",2.556*F7-2.052)</f>
      </c>
      <c r="H10" s="11">
        <f>IF(H7="","",0.12*H7+0.985)</f>
        <v>1.093</v>
      </c>
      <c r="I10" s="11">
        <f>IF(I7="","",-0.453*I7*I7+8.289*I7+0.753)</f>
      </c>
      <c r="J10" s="11">
        <f>IF(J7="","",1.676*J7-0.137)</f>
      </c>
      <c r="K10" s="11">
        <f>IF(K7="","",3.297*K8+(1.971*K7+4.663))</f>
        <v>31.684</v>
      </c>
    </row>
    <row r="11" spans="1:11" s="13" customFormat="1" ht="40.5" customHeight="1">
      <c r="A11" s="6" t="s">
        <v>73</v>
      </c>
      <c r="B11" s="8"/>
      <c r="C11" s="8" t="s">
        <v>74</v>
      </c>
      <c r="D11" s="8" t="s">
        <v>142</v>
      </c>
      <c r="E11" s="8" t="s">
        <v>143</v>
      </c>
      <c r="F11" s="8" t="s">
        <v>144</v>
      </c>
      <c r="G11" s="8" t="s">
        <v>145</v>
      </c>
      <c r="H11" s="8" t="s">
        <v>105</v>
      </c>
      <c r="I11" s="9" t="s">
        <v>239</v>
      </c>
      <c r="J11" s="8" t="s">
        <v>146</v>
      </c>
      <c r="K11" s="8" t="s">
        <v>147</v>
      </c>
    </row>
    <row r="12" spans="1:11" s="12" customFormat="1" ht="13.5">
      <c r="A12" s="10"/>
      <c r="B12" s="11">
        <v>1.287</v>
      </c>
      <c r="C12" s="11">
        <f>IF(C7="","",1.34*C7+0.677)</f>
        <v>3.1158</v>
      </c>
      <c r="D12" s="11">
        <f>IF(D7="","",6.07*D7+1.01)</f>
        <v>5.2589999999999995</v>
      </c>
      <c r="E12" s="11">
        <f>IF(E7="","","=0.93*E7*E7+1.606*E7-0.773")</f>
      </c>
      <c r="F12" s="11">
        <f>IF(F7="","",1.13*F7*F7+0.638*F7-0.011)</f>
      </c>
      <c r="G12" s="11">
        <f>IF(G7="","",0.924*F7*F7+0.993*F7-0.087)</f>
      </c>
      <c r="H12" s="11">
        <f>IF(H7="","",7.837*H7+0.82)</f>
        <v>7.8733</v>
      </c>
      <c r="I12" s="11">
        <f>IF(I7="","",1.458*I7*I7+1.27*I7+0.362)</f>
      </c>
      <c r="J12" s="11">
        <f>IF(J7="","",1.496*J7*J7+0.671*J7-0.015)</f>
      </c>
      <c r="K12" s="11">
        <f>IF(K7="","",(1.401*K7+0.684)*K8+(1.214*K7-0.834))</f>
        <v>25.996000000000002</v>
      </c>
    </row>
    <row r="13" spans="1:11" s="12" customFormat="1" ht="24.75" customHeight="1">
      <c r="A13" s="14" t="s">
        <v>106</v>
      </c>
      <c r="B13" s="7" t="s">
        <v>46</v>
      </c>
      <c r="C13" s="7" t="s">
        <v>46</v>
      </c>
      <c r="D13" s="15" t="s">
        <v>148</v>
      </c>
      <c r="E13" s="7" t="s">
        <v>46</v>
      </c>
      <c r="F13" s="7" t="s">
        <v>46</v>
      </c>
      <c r="G13" s="7" t="s">
        <v>46</v>
      </c>
      <c r="H13" s="15" t="s">
        <v>107</v>
      </c>
      <c r="I13" s="7" t="s">
        <v>46</v>
      </c>
      <c r="J13" s="7" t="s">
        <v>46</v>
      </c>
      <c r="K13" s="7" t="s">
        <v>46</v>
      </c>
    </row>
    <row r="14" spans="1:11" s="3" customFormat="1" ht="15" customHeight="1">
      <c r="A14" s="16"/>
      <c r="B14" s="17"/>
      <c r="C14" s="17"/>
      <c r="D14" s="17">
        <f>IF(D7="","",2.57*D7-0.188)</f>
        <v>1.6109999999999998</v>
      </c>
      <c r="E14" s="17"/>
      <c r="F14" s="17"/>
      <c r="G14" s="17"/>
      <c r="H14" s="17">
        <f>IF(H7="","",2.858*H7-0.283)</f>
        <v>2.2892</v>
      </c>
      <c r="I14" s="17"/>
      <c r="J14" s="17"/>
      <c r="K14" s="17"/>
    </row>
    <row r="15" spans="1:11" s="3" customFormat="1" ht="24" customHeight="1">
      <c r="A15" s="2" t="s">
        <v>77</v>
      </c>
      <c r="B15" s="2">
        <f>IF(B6="","",ROUNDDOWN(B10*B6+B12,3))</f>
      </c>
      <c r="C15" s="2">
        <f>IF(C6="","K=aH+b",ROUNDDOWN(C10*C6+C12,3))</f>
        <v>5.28</v>
      </c>
      <c r="D15" s="2">
        <f>IF(D10="","K=aH2+bH+c",ROUNDDOWN(D10*D6*D6+D12*D6+D14,3))</f>
        <v>5.226</v>
      </c>
      <c r="E15" s="2">
        <f>IF(E7="","",ROUNDDOWN(E10*E6+E12,3))</f>
      </c>
      <c r="F15" s="2">
        <f>IF(F7="","",ROUNDDOWN(F10*F6+F12,3))</f>
      </c>
      <c r="G15" s="2">
        <f>IF(G7="","",ROUNDDOWN(G10*G6+G12,3))</f>
      </c>
      <c r="H15" s="2">
        <f>IF(H7="","",ROUNDDOWN(H10*H6*H6+H12*H6+H14,3))</f>
        <v>15.454</v>
      </c>
      <c r="I15" s="2">
        <f>IF(I7="","",ROUNDDOWN(I10*I6+I12,3))</f>
      </c>
      <c r="J15" s="2">
        <f>IF(J7="","",ROUNDDOWN(J10*J6+J12,3))</f>
      </c>
      <c r="K15" s="2">
        <f>IF(K7="","",ROUNDDOWN(K10*K6+K12,3))</f>
        <v>70.353</v>
      </c>
    </row>
    <row r="17" ht="13.5">
      <c r="I17" s="18"/>
    </row>
  </sheetData>
  <sheetProtection/>
  <printOptions/>
  <pageMargins left="0.55" right="0.37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1.00390625" style="3" customWidth="1"/>
    <col min="2" max="2" width="23.875" style="1" customWidth="1"/>
    <col min="3" max="3" width="21.125" style="1" customWidth="1"/>
    <col min="4" max="4" width="18.625" style="1" customWidth="1"/>
    <col min="5" max="5" width="35.50390625" style="1" customWidth="1"/>
    <col min="6" max="16384" width="9.00390625" style="1" customWidth="1"/>
  </cols>
  <sheetData>
    <row r="1" spans="1:5" s="3" customFormat="1" ht="24" customHeight="1">
      <c r="A1" s="2" t="s">
        <v>122</v>
      </c>
      <c r="B1" s="2" t="s">
        <v>125</v>
      </c>
      <c r="C1" s="2" t="s">
        <v>125</v>
      </c>
      <c r="D1" s="2" t="s">
        <v>125</v>
      </c>
      <c r="E1" s="2" t="s">
        <v>126</v>
      </c>
    </row>
    <row r="2" spans="1:5" s="3" customFormat="1" ht="24" customHeight="1">
      <c r="A2" s="2" t="s">
        <v>58</v>
      </c>
      <c r="B2" s="2" t="s">
        <v>59</v>
      </c>
      <c r="C2" s="2" t="s">
        <v>127</v>
      </c>
      <c r="D2" s="2" t="s">
        <v>127</v>
      </c>
      <c r="E2" s="2" t="s">
        <v>59</v>
      </c>
    </row>
    <row r="3" spans="1:5" s="3" customFormat="1" ht="24" customHeight="1">
      <c r="A3" s="2" t="s">
        <v>61</v>
      </c>
      <c r="B3" s="2" t="s">
        <v>62</v>
      </c>
      <c r="C3" s="2" t="s">
        <v>62</v>
      </c>
      <c r="D3" s="2" t="s">
        <v>62</v>
      </c>
      <c r="E3" s="2" t="s">
        <v>62</v>
      </c>
    </row>
    <row r="4" spans="1:5" s="3" customFormat="1" ht="24" customHeight="1">
      <c r="A4" s="2" t="s">
        <v>63</v>
      </c>
      <c r="B4" s="2" t="s">
        <v>149</v>
      </c>
      <c r="C4" s="2" t="s">
        <v>132</v>
      </c>
      <c r="D4" s="2" t="s">
        <v>149</v>
      </c>
      <c r="E4" s="2" t="s">
        <v>133</v>
      </c>
    </row>
    <row r="5" spans="1:5" s="3" customFormat="1" ht="24" customHeight="1">
      <c r="A5" s="2" t="s">
        <v>66</v>
      </c>
      <c r="B5" s="2" t="s">
        <v>67</v>
      </c>
      <c r="C5" s="2" t="s">
        <v>67</v>
      </c>
      <c r="D5" s="2" t="s">
        <v>67</v>
      </c>
      <c r="E5" s="2" t="s">
        <v>67</v>
      </c>
    </row>
    <row r="6" spans="1:5" s="3" customFormat="1" ht="24" customHeight="1">
      <c r="A6" s="2" t="s">
        <v>68</v>
      </c>
      <c r="B6" s="5"/>
      <c r="C6" s="5"/>
      <c r="D6" s="5"/>
      <c r="E6" s="5"/>
    </row>
    <row r="7" spans="1:5" s="3" customFormat="1" ht="24" customHeight="1">
      <c r="A7" s="2" t="s">
        <v>134</v>
      </c>
      <c r="B7" s="5"/>
      <c r="C7" s="5"/>
      <c r="D7" s="5"/>
      <c r="E7" s="5"/>
    </row>
    <row r="8" spans="1:5" ht="24" customHeight="1">
      <c r="A8" s="2" t="s">
        <v>70</v>
      </c>
      <c r="B8" s="5" t="s">
        <v>46</v>
      </c>
      <c r="C8" s="5" t="s">
        <v>46</v>
      </c>
      <c r="D8" s="5" t="s">
        <v>46</v>
      </c>
      <c r="E8" s="5"/>
    </row>
    <row r="9" spans="1:5" ht="38.25" customHeight="1">
      <c r="A9" s="6" t="s">
        <v>72</v>
      </c>
      <c r="B9" s="7" t="s">
        <v>150</v>
      </c>
      <c r="C9" s="9" t="s">
        <v>151</v>
      </c>
      <c r="D9" s="7" t="s">
        <v>152</v>
      </c>
      <c r="E9" s="7" t="s">
        <v>141</v>
      </c>
    </row>
    <row r="10" spans="1:5" s="12" customFormat="1" ht="13.5">
      <c r="A10" s="10"/>
      <c r="B10" s="11">
        <f>IF(B7="","",0.747*B7+21.355)</f>
      </c>
      <c r="C10" s="11">
        <f>IF(C7="","",-0.204*C7*C7+3.166*C7-1.936)</f>
      </c>
      <c r="D10" s="11">
        <f>IF(D7="","",1.265*D7-15.67)</f>
      </c>
      <c r="E10" s="11">
        <f>IF(E7="","",3.297*E8+(1.971*E7+4.663))</f>
      </c>
    </row>
    <row r="11" spans="1:5" s="13" customFormat="1" ht="40.5" customHeight="1">
      <c r="A11" s="6" t="s">
        <v>73</v>
      </c>
      <c r="B11" s="8" t="s">
        <v>153</v>
      </c>
      <c r="C11" s="8" t="s">
        <v>154</v>
      </c>
      <c r="D11" s="8" t="s">
        <v>155</v>
      </c>
      <c r="E11" s="8" t="s">
        <v>147</v>
      </c>
    </row>
    <row r="12" spans="1:5" s="12" customFormat="1" ht="13.5">
      <c r="A12" s="10"/>
      <c r="B12" s="11">
        <f>IF(B7="","",1.263*B7*B7+4.295*B7-7.649)</f>
      </c>
      <c r="C12" s="11">
        <f>IF(C7="","",1.345*C7*C7+0.736*C7+0.251)</f>
      </c>
      <c r="D12" s="11">
        <f>IF(D7="","",1.259*D7*D7+2.336*D7-8.13)</f>
      </c>
      <c r="E12" s="11">
        <f>IF(E7="","",(1.401*E7+0.684)*E8+(1.214*E7-0.834))</f>
      </c>
    </row>
    <row r="13" spans="1:5" s="12" customFormat="1" ht="24.75" customHeight="1">
      <c r="A13" s="14" t="s">
        <v>106</v>
      </c>
      <c r="B13" s="7" t="s">
        <v>46</v>
      </c>
      <c r="C13" s="7" t="s">
        <v>46</v>
      </c>
      <c r="D13" s="7" t="s">
        <v>46</v>
      </c>
      <c r="E13" s="7" t="s">
        <v>46</v>
      </c>
    </row>
    <row r="14" spans="1:5" s="3" customFormat="1" ht="15" customHeight="1">
      <c r="A14" s="16"/>
      <c r="B14" s="17"/>
      <c r="C14" s="17"/>
      <c r="D14" s="17"/>
      <c r="E14" s="17"/>
    </row>
    <row r="15" spans="1:5" s="3" customFormat="1" ht="24" customHeight="1">
      <c r="A15" s="2" t="s">
        <v>77</v>
      </c>
      <c r="B15" s="2">
        <f>IF(B7="","",B10*B6+B12)</f>
      </c>
      <c r="C15" s="2">
        <f>IF(C7="","",C10*C6+C12)</f>
      </c>
      <c r="D15" s="2">
        <f>IF(D7="","",D10*D6+D12)</f>
      </c>
      <c r="E15" s="2">
        <f>IF(E7="","",E10*E6+E12)</f>
      </c>
    </row>
  </sheetData>
  <sheetProtection sheet="1" objects="1" scenarios="1"/>
  <printOptions/>
  <pageMargins left="1.84" right="0.75" top="1.38" bottom="0.69" header="1.02" footer="0.33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毛呂山町役場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毛呂山町役場</dc:creator>
  <cp:keywords/>
  <dc:description/>
  <cp:lastModifiedBy>島田久司</cp:lastModifiedBy>
  <cp:lastPrinted>2016-02-26T00:50:42Z</cp:lastPrinted>
  <dcterms:created xsi:type="dcterms:W3CDTF">2004-04-28T02:39:34Z</dcterms:created>
  <dcterms:modified xsi:type="dcterms:W3CDTF">2016-03-28T06:28:04Z</dcterms:modified>
  <cp:category/>
  <cp:version/>
  <cp:contentType/>
  <cp:contentStatus/>
</cp:coreProperties>
</file>